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2"/>
  <workbookPr defaultThemeVersion="166925"/>
  <mc:AlternateContent xmlns:mc="http://schemas.openxmlformats.org/markup-compatibility/2006">
    <mc:Choice Requires="x15">
      <x15ac:absPath xmlns:x15ac="http://schemas.microsoft.com/office/spreadsheetml/2010/11/ac" url="C:\Users\ferch\IDIPRON\2025\Mapas de Riesgo 2025\Riesgos de Gestión\"/>
    </mc:Choice>
  </mc:AlternateContent>
  <xr:revisionPtr revIDLastSave="77" documentId="13_ncr:1_{438D4AD9-5EB6-4F2F-B17F-A9C8B7D231B3}" xr6:coauthVersionLast="47" xr6:coauthVersionMax="47" xr10:uidLastSave="{3A4F27EA-0286-4FBA-8BEE-96C3C3D46A41}"/>
  <bookViews>
    <workbookView xWindow="-108" yWindow="-108" windowWidth="23256" windowHeight="12456" xr2:uid="{E9951750-6718-4E65-99C4-7D8C6E70D595}"/>
  </bookViews>
  <sheets>
    <sheet name="Riesgo 1" sheetId="3" r:id="rId1"/>
    <sheet name="Datos" sheetId="5" state="hidden" r:id="rId2"/>
    <sheet name="Instructivo" sheetId="4" r:id="rId3"/>
  </sheets>
  <definedNames>
    <definedName name="_xlnm.Print_Area" localSheetId="0">'Riesgo 1'!$A$1:$AK$23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36" i="3" l="1"/>
  <c r="S36" i="3"/>
  <c r="V34" i="3"/>
  <c r="S34" i="3"/>
  <c r="S37" i="3"/>
  <c r="V35" i="3"/>
  <c r="S35" i="3"/>
  <c r="V33" i="3"/>
  <c r="S33" i="3"/>
  <c r="V32" i="3"/>
  <c r="S32" i="3"/>
  <c r="K32" i="3"/>
  <c r="L32" i="3" s="1"/>
  <c r="M32" i="3" s="1"/>
  <c r="H32" i="3"/>
  <c r="N32" i="3" s="1"/>
  <c r="O32" i="3" s="1"/>
  <c r="V31" i="3"/>
  <c r="S31" i="3"/>
  <c r="V30" i="3"/>
  <c r="S30" i="3"/>
  <c r="V29" i="3"/>
  <c r="S29" i="3"/>
  <c r="V28" i="3"/>
  <c r="S28" i="3"/>
  <c r="V22" i="3"/>
  <c r="S22" i="3"/>
  <c r="S20" i="3"/>
  <c r="V20" i="3"/>
  <c r="V26" i="3"/>
  <c r="S26" i="3"/>
  <c r="V25" i="3"/>
  <c r="S25" i="3"/>
  <c r="V24" i="3"/>
  <c r="S24" i="3"/>
  <c r="V19" i="3"/>
  <c r="S19" i="3"/>
  <c r="V27" i="3"/>
  <c r="S27" i="3"/>
  <c r="K27" i="3"/>
  <c r="L27" i="3" s="1"/>
  <c r="M27" i="3" s="1"/>
  <c r="H27" i="3"/>
  <c r="AD36" i="3" l="1"/>
  <c r="AD30" i="3"/>
  <c r="AD31" i="3" s="1"/>
  <c r="AC31" i="3" s="1"/>
  <c r="AD32" i="3"/>
  <c r="AC32" i="3" s="1"/>
  <c r="I32" i="3"/>
  <c r="Z32" i="3" s="1"/>
  <c r="AD33" i="3"/>
  <c r="AC33" i="3" s="1"/>
  <c r="AC30" i="3"/>
  <c r="N27" i="3"/>
  <c r="O27" i="3" s="1"/>
  <c r="I27" i="3"/>
  <c r="Z27" i="3" s="1"/>
  <c r="AD27" i="3"/>
  <c r="AC27" i="3" s="1"/>
  <c r="AC36" i="3" l="1"/>
  <c r="AD37" i="3"/>
  <c r="AC37" i="3" s="1"/>
  <c r="AD28" i="3"/>
  <c r="AD29" i="3" s="1"/>
  <c r="AC29" i="3" s="1"/>
  <c r="AB32" i="3"/>
  <c r="Z33" i="3" s="1"/>
  <c r="AA32" i="3"/>
  <c r="AE32" i="3" s="1"/>
  <c r="AF32" i="3" s="1"/>
  <c r="AD34" i="3"/>
  <c r="AC28" i="3"/>
  <c r="AA27" i="3"/>
  <c r="AE27" i="3" s="1"/>
  <c r="AF27" i="3" s="1"/>
  <c r="AB27" i="3"/>
  <c r="Z28" i="3" s="1"/>
  <c r="AC34" i="3" l="1"/>
  <c r="AD35" i="3"/>
  <c r="AC35" i="3" s="1"/>
  <c r="AA33" i="3"/>
  <c r="AE33" i="3" s="1"/>
  <c r="AF33" i="3" s="1"/>
  <c r="AB33" i="3"/>
  <c r="V23" i="3"/>
  <c r="V21" i="3"/>
  <c r="S23" i="3"/>
  <c r="S21" i="3"/>
  <c r="Z34" i="3" l="1"/>
  <c r="Z37" i="3"/>
  <c r="AB28" i="3"/>
  <c r="AA28" i="3"/>
  <c r="AE28" i="3" s="1"/>
  <c r="AF28" i="3" s="1"/>
  <c r="K24" i="3"/>
  <c r="H24" i="3"/>
  <c r="Z31" i="3" l="1"/>
  <c r="Z29" i="3"/>
  <c r="AA34" i="3"/>
  <c r="AE34" i="3" s="1"/>
  <c r="AF34" i="3" s="1"/>
  <c r="AB34" i="3"/>
  <c r="Z35" i="3" s="1"/>
  <c r="AB37" i="3"/>
  <c r="AA37" i="3"/>
  <c r="AE37" i="3" s="1"/>
  <c r="AF37" i="3" s="1"/>
  <c r="AA31" i="3"/>
  <c r="AE31" i="3" s="1"/>
  <c r="AF31" i="3" s="1"/>
  <c r="AB31" i="3"/>
  <c r="L24" i="3"/>
  <c r="M24" i="3" s="1"/>
  <c r="AD24" i="3" s="1"/>
  <c r="I24" i="3"/>
  <c r="Z24" i="3" s="1"/>
  <c r="AB24" i="3" s="1"/>
  <c r="Z25" i="3" s="1"/>
  <c r="AA25" i="3" s="1"/>
  <c r="AB29" i="3" l="1"/>
  <c r="Z30" i="3" s="1"/>
  <c r="AA29" i="3"/>
  <c r="AE29" i="3" s="1"/>
  <c r="AF29" i="3" s="1"/>
  <c r="AB35" i="3"/>
  <c r="Z36" i="3" s="1"/>
  <c r="AA35" i="3"/>
  <c r="AE35" i="3" s="1"/>
  <c r="AF35" i="3" s="1"/>
  <c r="AB25" i="3"/>
  <c r="Z26" i="3" s="1"/>
  <c r="AC24" i="3"/>
  <c r="AD25" i="3"/>
  <c r="AC25" i="3" s="1"/>
  <c r="N24" i="3"/>
  <c r="O24" i="3" s="1"/>
  <c r="AA24" i="3"/>
  <c r="AB36" i="3" l="1"/>
  <c r="AA36" i="3"/>
  <c r="AE36" i="3" s="1"/>
  <c r="AF36" i="3" s="1"/>
  <c r="AB30" i="3"/>
  <c r="AA30" i="3"/>
  <c r="AE30" i="3" s="1"/>
  <c r="AF30" i="3" s="1"/>
  <c r="AE24" i="3"/>
  <c r="AF24" i="3" s="1"/>
  <c r="AE25" i="3"/>
  <c r="AF25" i="3" s="1"/>
  <c r="AD26" i="3"/>
  <c r="AA26" i="3"/>
  <c r="AB26" i="3"/>
  <c r="AC26" i="3" l="1"/>
  <c r="AE26" i="3" s="1"/>
  <c r="AF26" i="3" s="1"/>
  <c r="V18" i="3"/>
  <c r="S18" i="3"/>
  <c r="V17" i="3" l="1"/>
  <c r="S17" i="3"/>
  <c r="K17" i="3" l="1"/>
  <c r="L17" i="3" s="1"/>
  <c r="M17" i="3" l="1"/>
  <c r="AD21" i="3" s="1"/>
  <c r="AD22" i="3" s="1"/>
  <c r="H17" i="3"/>
  <c r="AC22" i="3" l="1"/>
  <c r="AD23" i="3"/>
  <c r="AC23" i="3" s="1"/>
  <c r="AC21" i="3"/>
  <c r="AD17" i="3"/>
  <c r="I17" i="3"/>
  <c r="Z17" i="3" s="1"/>
  <c r="AA17" i="3" s="1"/>
  <c r="N17" i="3"/>
  <c r="O17" i="3" s="1"/>
  <c r="AC17" i="3" l="1"/>
  <c r="AE17" i="3" s="1"/>
  <c r="AF17" i="3" s="1"/>
  <c r="AD19" i="3"/>
  <c r="AC19" i="3" s="1"/>
  <c r="AD18" i="3"/>
  <c r="AB17" i="3"/>
  <c r="Z18" i="3" s="1"/>
  <c r="AC18" i="3" l="1"/>
  <c r="AD20" i="3"/>
  <c r="AC20" i="3" s="1"/>
  <c r="AA18" i="3"/>
  <c r="AE18" i="3" s="1"/>
  <c r="AF18" i="3" s="1"/>
  <c r="AB18" i="3"/>
  <c r="Z19" i="3" s="1"/>
  <c r="AB19" i="3" l="1"/>
  <c r="Z20" i="3" s="1"/>
  <c r="AA19" i="3"/>
  <c r="AE19" i="3" s="1"/>
  <c r="AF19" i="3" s="1"/>
  <c r="AB20" i="3" l="1"/>
  <c r="Z21" i="3" s="1"/>
  <c r="AA20" i="3"/>
  <c r="AE20" i="3" s="1"/>
  <c r="AF20" i="3" s="1"/>
  <c r="AB21" i="3"/>
  <c r="AA21" i="3"/>
  <c r="AE21" i="3" s="1"/>
  <c r="AF21" i="3" s="1"/>
  <c r="Z23" i="3" l="1"/>
  <c r="Z22" i="3"/>
  <c r="AB23" i="3"/>
  <c r="AA23" i="3"/>
  <c r="AE23" i="3" s="1"/>
  <c r="AF23" i="3" s="1"/>
  <c r="AA22" i="3" l="1"/>
  <c r="AE22" i="3" s="1"/>
  <c r="AF22" i="3" s="1"/>
  <c r="AB2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tc={7D11A6DD-DF2A-4FA7-B2B4-157F7FF6B7B1}</author>
    <author>tc={70B22DDB-DDC7-47AD-B1DE-92892F312300}</author>
    <author>tc={332271FA-2FAF-45FA-8395-3D342172446C}</author>
    <author>tc={65F2478C-CC71-4CD5-AEBB-D8FCBCDFC767}</author>
    <author>tc={6F32358D-4DDF-427D-ACD7-3F47A9F30F92}</author>
  </authors>
  <commentList>
    <comment ref="G17" authorId="0" shapeId="0" xr:uid="{7D11A6DD-DF2A-4FA7-B2B4-157F7FF6B7B1}">
      <text>
        <t xml:space="preserve">[Threaded comment]
Your version of Excel allows you to read this threaded comment; however, any edits to it will get removed if the file is opened in a newer version of Excel. Learn more: https://go.microsoft.com/fwlink/?linkid=870924
Comment:
    Se toma como referencia el numero de solicitudes de recolección de residuos de agosto a diciembre 2022 a través del aplicativo ARANDA
Reply:
    Para 2024 se toma como referencia el numero de solicitudes de recolección de residuos de 2023 a través del aplicativo ARANDA
</t>
      </text>
    </comment>
    <comment ref="J17" authorId="1" shapeId="0" xr:uid="{70B22DDB-DDC7-47AD-B1DE-92892F312300}">
      <text>
        <t>[Threaded comment]
Your version of Excel allows you to read this threaded comment; however, any edits to it will get removed if the file is opened in a newer version of Excel. Learn more: https://go.microsoft.com/fwlink/?linkid=870924
Comment:
    Se toma como base lo establecido en el Art. 40 de la ley 1333 de 2009</t>
      </text>
    </comment>
    <comment ref="G24" authorId="2" shapeId="0" xr:uid="{332271FA-2FAF-45FA-8395-3D342172446C}">
      <text>
        <t>[Threaded comment]
Your version of Excel allows you to read this threaded comment; however, any edits to it will get removed if the file is opened in a newer version of Excel. Learn more: https://go.microsoft.com/fwlink/?linkid=870924
Comment:
    Se toma como referencia las 11 unidades en donde existen comedores o donde se dictan talleres industriales como mantenimiento de motos, mantenimiento de vehículos, serigrafia, belleza, vitrales, mantenimiento de bicicletas, etc
Reply:
    Para 2024 se toma como base  9 upis que para esta vigencia se encuentran en operación</t>
      </text>
    </comment>
    <comment ref="G27" authorId="3" shapeId="0" xr:uid="{65F2478C-CC71-4CD5-AEBB-D8FCBCDFC767}">
      <text>
        <t>[Threaded comment]
Your version of Excel allows you to read this threaded comment; however, any edits to it will get removed if the file is opened in a newer version of Excel. Learn more: https://go.microsoft.com/fwlink/?linkid=870924
Comment:
    Para 2024 se aumenta a 6 teniendo en cuenta las unidades rurales que se encuentran bajo responsabilidad del IDIPRON</t>
      </text>
    </comment>
    <comment ref="G32" authorId="4" shapeId="0" xr:uid="{6F32358D-4DDF-427D-ACD7-3F47A9F30F92}">
      <text>
        <t>[Threaded comment]
Your version of Excel allows you to read this threaded comment; however, any edits to it will get removed if the file is opened in a newer version of Excel. Learn more: https://go.microsoft.com/fwlink/?linkid=870924
Comment:
    Para 2024 se toma en cuenta las 13 UPIS de la entidad ubicadas en el Distrito Capital y XX  vehículos propios de la entidad</t>
      </text>
    </comment>
  </commentList>
</comments>
</file>

<file path=xl/sharedStrings.xml><?xml version="1.0" encoding="utf-8"?>
<sst xmlns="http://schemas.openxmlformats.org/spreadsheetml/2006/main" count="341" uniqueCount="221">
  <si>
    <t>GESTION AMBIENTAL</t>
  </si>
  <si>
    <t>CÓDIGO</t>
  </si>
  <si>
    <t>E-PLA-FT-020</t>
  </si>
  <si>
    <t>VERSIÓN</t>
  </si>
  <si>
    <t>09</t>
  </si>
  <si>
    <t>MAPA DE RIESGOS DE GESTIÓN</t>
  </si>
  <si>
    <t>PÁGINA</t>
  </si>
  <si>
    <t>1 DE 1</t>
  </si>
  <si>
    <t>VIGENTE DESDE</t>
  </si>
  <si>
    <t>Proceso</t>
  </si>
  <si>
    <t>Objetivo del Proceso</t>
  </si>
  <si>
    <t>Prevenir y/o mitigar los impactos ambientales generados por el desarrollo de las actividades misionales y administrativas en el IDIPRON a través del desarrollo de de planes, programas, acciones y controles operacionales que involucren a los NNAJ, funcionarios, contratistas y proveedores en las unidades de protección integral y sedes administrativas del instituto; con el fin de dar cumplimiento al marco normativo ambiental y políticas publicas ambientales distritales y nacionales.</t>
  </si>
  <si>
    <t>Alcance</t>
  </si>
  <si>
    <t>El proceso inicia con la identificación de aspectos, impactos ambientales y el marco normativo ambiental aplicable en las unidades de protección integral y sedes administrativas; siguiendo con la formulación e implementación de planes, programas, acciones y controles  operacionales para la prevención y mitigación de las afectaciones negativas al medio ambiente producidas por la ejecución de las actividades misionales y administrativas del instituto; finalizando con el seguimiento de los planes, programas, acciones, controles operacionales y reporte de avance que den cumplimiento al marco de la normatividad ambiental aplicable y al mejoramiento del desempeño ambiental de la Entidad.</t>
  </si>
  <si>
    <t>IDENTIFICACIÓN DEL RIESGO</t>
  </si>
  <si>
    <t>VALORACIÓN DEL RIESGO</t>
  </si>
  <si>
    <t>GESTIÓN DEL RIESGO</t>
  </si>
  <si>
    <t xml:space="preserve">MONITOREO </t>
  </si>
  <si>
    <t>SEGUIMIENTO Y EVALUACIÓN</t>
  </si>
  <si>
    <t>Atributos</t>
  </si>
  <si>
    <t>No. De Riesgo</t>
  </si>
  <si>
    <t>Impacto</t>
  </si>
  <si>
    <t>Causa Inmediata</t>
  </si>
  <si>
    <t>Causa Raiz</t>
  </si>
  <si>
    <t>Descripción del Riesgo</t>
  </si>
  <si>
    <t>Clasificación Riesgo</t>
  </si>
  <si>
    <t>Frecuencia con la que se realiza la actividad</t>
  </si>
  <si>
    <t>Probabilidad 
Inherente</t>
  </si>
  <si>
    <t>%</t>
  </si>
  <si>
    <t>Criterios de Impacto</t>
  </si>
  <si>
    <t>Observacion de Impacto</t>
  </si>
  <si>
    <t>Impacto
 Inherente</t>
  </si>
  <si>
    <t>Zona de riesgo</t>
  </si>
  <si>
    <t>Zona de riesgo
inherente</t>
  </si>
  <si>
    <t>No. De control</t>
  </si>
  <si>
    <t>Descripción del Control</t>
  </si>
  <si>
    <t>Afectación</t>
  </si>
  <si>
    <t xml:space="preserve">Tipo </t>
  </si>
  <si>
    <t>Implementación</t>
  </si>
  <si>
    <t>Calificación</t>
  </si>
  <si>
    <t>Documentación</t>
  </si>
  <si>
    <t>Frecuencia</t>
  </si>
  <si>
    <t>Evidencia</t>
  </si>
  <si>
    <t xml:space="preserve">Probabilidad Residual </t>
  </si>
  <si>
    <t>Probabilidad Residual Final</t>
  </si>
  <si>
    <t>Impacto Residual Final</t>
  </si>
  <si>
    <t>Zona de Riesgo Final</t>
  </si>
  <si>
    <t>Tratamiento</t>
  </si>
  <si>
    <t>Plan de Acción</t>
  </si>
  <si>
    <t>Responsable</t>
  </si>
  <si>
    <t>Fecha implementación</t>
  </si>
  <si>
    <t>Fecha Del Monitoreo</t>
  </si>
  <si>
    <t>Reporte De La Ejecución De Los Controles</t>
  </si>
  <si>
    <t>Reporte de la Ejecución de las Acciones Para El Fortalecimento Del Riesgo</t>
  </si>
  <si>
    <t>Reporte De Las Acciones Desarrolladas En Caso De Que Se Haya Materializado El Riesgo</t>
  </si>
  <si>
    <t>Observaciones Del Monitoreo</t>
  </si>
  <si>
    <t xml:space="preserve">OBSERVACIONES OFICINA ASESORA DE PLANEACIÓN </t>
  </si>
  <si>
    <t>OBSERVACIONES OFICINA DE CONTROL INTERNO</t>
  </si>
  <si>
    <t>x</t>
  </si>
  <si>
    <t>Económico</t>
  </si>
  <si>
    <t>Multas y Sanciones</t>
  </si>
  <si>
    <t xml:space="preserve">incumplimiento de los lineamientos legales y operacionales para realizar la gestion integral de todas las corrientes de residuos generadas en las sedes del IDIPRON </t>
  </si>
  <si>
    <t xml:space="preserve">Posibles afectaciones economicas por multas y sanciones de la autoridad ambiental debido al incumplimiento de los lineamientos legales y operacionales para realizar la gestion integral de todas las corrientes de residuos sólidos generados en las sedes del IDIPRON </t>
  </si>
  <si>
    <t xml:space="preserve">Afectación Mayor a 3000 SMLMV </t>
  </si>
  <si>
    <t>Trimestralmente el responsable del proceso de gestion ambiental, consolida la información referente a la recolección de residuos sólidos en el cual se incorporan las sedes generadoras, la fecha en que se generó la recolección, la empresa que realizo la recolección, la certificación y/o manifiesto de recolección y la cantidad de kilogramos recogidos por cada una de las clases de residuos.</t>
  </si>
  <si>
    <t>Detectivo</t>
  </si>
  <si>
    <t>Manual</t>
  </si>
  <si>
    <t>Manual de Gestión Integral de Residuos A-GAM-MA-002</t>
  </si>
  <si>
    <t>Trimestramente</t>
  </si>
  <si>
    <t xml:space="preserve">Consolidado Integral de Generación de Residuos </t>
  </si>
  <si>
    <t>ACEPTAR EL RIESGO</t>
  </si>
  <si>
    <t>Realizar capacitaciones frente a los controles operacionales existentes en el Manual de Gestión Integral de Residuos  a los refrentes y responables de las unidades de proteción integral y sedes administrativas</t>
  </si>
  <si>
    <t>Profesionales del Área de Gestión Ambiental</t>
  </si>
  <si>
    <t>Control 1: Se recolecto la informacion de generación de residuos aprovechables, peligrosos, organicos y especiales mediante el formato A-GAM-FT-005 Cosolidado Integral de Generación de Residuos, para el periodo comprendido del 01 de Enero al 30 Abril del 2025 se generaron un total de 43,5 toneladas de residuos. 
Control 2: La Gerencia Administrativa por medio del proceso de gestion ambiental, tuvo  vigente  los contratos 1385-2023, 1906-2023 y 1000-2025  y los acuerdo de corresponsabilidad  2477-2018 y el 1850 del 2021, para gestionar los residuos aprovechables, especiales, peligrosos y organicos que se generan en las unidades de protección integral y demas sedes que se encuentran bajo la responsabilidad del IDIPRON.
Control 3: Se recaudaron  y consolidaron los certificadios de disposción final de recoleccion de residuos aprovechables 1 de enero al 31 de marzo del 2025
Control 4: No se pudo ejecutar el control teniendo en cuenta que el personal tecnico de asesoramiento ambiental, fue contratado en su totalidad hasta la mitad del mes de marzo del 2025, por tal motivo este control se aplicara hasta el II Cuatrimestre
Control 5:No se pudo ejecutar el control teniendo en cuenta que el personal tecnico de asesoramiento ambiental, fue contratado en su totalidad hasta la mitad del mes de marzo del 2025, por tal motivo este control se aplicara hasta el II Cuatrimestre 
Control 6: No se aplico el control, debido a que no se ha materializado el riesgo 
Control 7:  Se adelanto el contrato 1000-2025, en el cual se le incluyo la obligación de constitución de polizas de amparo de calidad del servicio, cumplimiento a las obligaciones contractuales y la responsabilidad civil extracontractual  , de acuerdo a lo estableciudo a este control</t>
  </si>
  <si>
    <t>No se pudo ejecutar las acciones de fortalecimiento del riesgoteniendo en cuenta que el personal tecnico de asesoramiento ambiental, fue contratado en su totalidad hasta la mitad del mes de marzo del 2025, por tal motivo este control se aplicara hasta el II Cuatrimestre</t>
  </si>
  <si>
    <t xml:space="preserve">Durante el periodo comprendido del 01 de Enero al  31 de 30 de abril del 2025, este riesgo no se ha materializo. Por tal motivo no fue necesario ejecutar la acción establecida para la materialización </t>
  </si>
  <si>
    <t>Control N°1: Se identifica la aplicación del control con el consolidado de la información relacionada con los residuos recolectados para el trimestre, lo cual informa que se genero 43,5 toneladas de residuos
Control N°2: Se verifica la aplicación del control mediante los contratos y acuerdos vigentes para la gestión y recolección de los residuos
Control N°3: Se evidencia la aplicación del control con los certificados de disposición final de los residuos correspondientes a los meses de enero a marzo. Para el mes de abril el proceso no evidencia la aplicación del control.
Control N°4 y N°5: Para este periodo evaluado no se evidencia la aplicación del control puesto que el proceso indica quue el personal ténico para realizar el control fue contratado despues de mitad de marzo, por lo cual este riesgo se empezara a cumplir en el siguiente cuatrimestre.
Control N°6. No se evidencia la aplicación del control ya que el proceso indica que no se ha materializado el riesgo.
Control N°7: Se evidencia la aplicación del control mediante a las polizas de cumplimiento del contrato 1000-2025 
Acciones de Fortalecimiento: A la fecha no se han ejecutado actividades de capacitación, ya que el proceso indica que no contaba con el personal técnico de asesoramiento ambiental. Por lo cual esta acción se realizara para el seguno cuatrimestre</t>
  </si>
  <si>
    <t>Control N°1: Se evidencio la ejecución de la actividad  del control con el consolidado integral de generación de  residuos solidos  para el primer trimestre 2025.
Control N°2: Se evidencio la ejecución de la actividad de control con  los contratos y acuerdos vigentes.
Control N°3: Se evidencia la ejecución de la actividad de control  con los certificados de disposición final de los residuos correspondientes a los meses de enero a marzo, no obstante no se aporto el de mes de abril y la periodicidad del control es mensual.
Control N°4: No se aporto evidencia que de cuenta de la ejecución de la actividad de control. El proceso indica que el personal fue contratado en su totalidad hasta la mitad del mes de marzo del 2025, por tal motivo este control se aplicara hasta el II Cuatrimestre.
Control  N°5: No se aporto evidencia que de cuenta de la ejecución de la actividad de control. El proceso indica que el personal fue contratado en su totalidad hasta la mitad del mes de marzo del 2025, por tal motivo este control se aplicara hasta el II Cuatrimestre.
Control N°6. Se reporto que durante este periodo no se dio aplicación a la actividad de control ya que se indica que no se ha materializado el riesgo.
Control N°7:Se evidencia la ejecución de la actividad de control con el contrato 1000-2025, en el cual se le incluyo la obligación de constitución de polizas de amparo de calidad del servicio, cumplimiento a las obligaciones contractuales y la responsabilidad civil extracontractual.
Accion para el fortalecimiento: Se reporto que durante este periodo no se dio aplicación a la acción de fortalecimiento teniendo en cuenta que el personal tecnico de asesoramiento ambiental, fue contratado en su totalidad hasta la mitad del mes de marzo del 2025, por tal motivo este control se aplicara hasta el II Cuatrimestre
No se ha materializado el riesgo
Recomendación: se sugiere cumplir con la periodicidad de los reportes y optimizar la planeación de los recursos, evitando que la contratación del personal afecte la ejecución oportuna de las actividades de control. Con estas medidas, se favorecerá una gestión más eficiente y transparente.</t>
  </si>
  <si>
    <t xml:space="preserve"> La Gerencia Administrativa, cada vigencia, verifica que se cuente con contratos vigentes para la disposición de los diferentes tipos de residuos. En caso de que se detecte que no se cuenta con el contrato vigente para la disposición de algun tipo de residuo, se procede a adelantar el respectivo proceso contractual</t>
  </si>
  <si>
    <t>Preventivo</t>
  </si>
  <si>
    <t>Manual Gestión Integral de Residuos A-GAM-MA-002</t>
  </si>
  <si>
    <t>Anualmente</t>
  </si>
  <si>
    <t>Contratos firmados</t>
  </si>
  <si>
    <t>Mensualmente, el responsable del proceso solicita a los proveedores de servicios de recolección de residuos, la generación de manifiestos de recolección de residuos y/o certificaciones de tratamiento y disposición final de residuos</t>
  </si>
  <si>
    <t>Cláusulas de los contratos de los proveedores de servicios de recolección de residuos</t>
  </si>
  <si>
    <t>Mensualmente</t>
  </si>
  <si>
    <t xml:space="preserve"> Manifiestos de recolección de residuos 
y/o
Certificaciones emitidas</t>
  </si>
  <si>
    <t xml:space="preserve">Mensualmente, los profesionales, tecnólogos o técnicos del proceso de Gestión Ambiental, realizan visita a todas las Unidades de Protección Integral, revisando la gestión adecuada de los residuos, de acuerdo con los lineamientos establecidos en el Manual de Gestión Integral de Residuos A-GAM-MA-002 y el  Manual de Operaciones del Proceso de Gestión Ambiental  A-GAM-MA-004 </t>
  </si>
  <si>
    <t xml:space="preserve">Manual de Operaciones del Proceso de Gestión Ambiental  A-GAM-MA-004 </t>
  </si>
  <si>
    <t xml:space="preserve"> A-GOD-FT-004 ACTA
 A-GDH-FT-010 
REGISTRO DE ASISTENCIA COMITÉ, JUNTA, REUNION </t>
  </si>
  <si>
    <t>Los profesionales del área de gestión ambiental realizan 2 visitas de diagnóstico y 2 visitas de seguimiento ambiental a todas las Upis y Sedes Administrativas en el transcurso de la vigencia, verificando el cumplimiento de la normatividad ambiental relacionada con los residuos sólidos, los resultados de las visitas son registrados en los formatos A-GAM-FT 014 y A-GAM-FT 007.</t>
  </si>
  <si>
    <t>Correctivo</t>
  </si>
  <si>
    <t>Procedimiento Seguimiento Ambiental A-GAM-PR-003</t>
  </si>
  <si>
    <t>Semestral</t>
  </si>
  <si>
    <t xml:space="preserve">formatos A-GAM-FT 014 
 A-GDO-FT-004 Acta de Visita
 y/o A-GAM-FT 007 de acuerdo con el procedimiento de A-GAM-PR-002 </t>
  </si>
  <si>
    <t>Los profesionales del área de gestión ambiental, en el momento en que se detecta una disposición de residuos inadecuada, realiza la intervención de la upi o sede administrativa realizando la recoleccion de los residuos y su disposicición de acuerdo con los lineamientos establecidos en el  Manual de Gestión Integral de Residuos A-GAM-MA-002, posteriormente realiza  un seguimiento frecuente para evitar que se sigan presentando las situaciones detectadas</t>
  </si>
  <si>
    <t>en el momento en que se detecta una disposición de residuos inadecuada</t>
  </si>
  <si>
    <t>A-GDO-FT-004 Acta de Visita
A-GDH-FT-010 
Registro de Asistencia Comité, Junta, Reunión</t>
  </si>
  <si>
    <t>Cada vez que se adelante proceso de estructuración de los contratos de gestion de residuos, el comité estructurador incluye dentro de los amparos exigidos a los proponentes, la suscripción de tomas de aseguramiento relacionadas con la calidad del servicio, cumplimiento a las obligaciones contractuales y la responsabilidad civil extracontractual frente a la posible mala gestión de los residuos</t>
  </si>
  <si>
    <t>Manual de contratación????</t>
  </si>
  <si>
    <t>Cada vez que se adelante proceso de estructuración de los contratos de gestion de residuos</t>
  </si>
  <si>
    <t>Pólizas de amparo de los contratos vigentes</t>
  </si>
  <si>
    <t xml:space="preserve">incumplimiento de los lineamientos legales y operacionales para realizar los vertimientos a las redes de alcantarillado y/o fuentes hídricas   generados en las sedes del IDIPRON </t>
  </si>
  <si>
    <t xml:space="preserve">Posibles afectaciones economicas por multas y sanciones de la autoridad ambiental debido al incumplimiento de los lineamientos legales y operacionales para realizar los vertimientos a las redes de alcantarillado y/o fuentes hídricas   generados en las sedes del IDIPRON </t>
  </si>
  <si>
    <r>
      <t xml:space="preserve">Los referentes y responsables PIGA de cada </t>
    </r>
    <r>
      <rPr>
        <sz val="12"/>
        <rFont val="Times New Roman"/>
        <family val="1"/>
      </rPr>
      <t xml:space="preserve">Unidad de Protección Integral y/o sede administrativa cada vez que se requiera hacer la recolección de los residuos liquidos y acuosos, verifican el tipo de residuos se están generando  (organicos y/o peligrosos) y solicitan a través de la mesa de ayuda la recolección de los residuos , así mismo solicita la limpieza de trampas de grasa y pozos sépticos </t>
    </r>
  </si>
  <si>
    <t xml:space="preserve">Manual de Saneamiento Básico  A-GAM-MA-001 / Manual de Gestion Integral de Residuos A-GAM-MA-002  e Instructivo de Mesa de Ayuda A-GAM-IN-001 </t>
  </si>
  <si>
    <t>cada vez que se requiera realizar la disposicion de residuos liquidos y acuosos</t>
  </si>
  <si>
    <t>Reporte de la Mesa de Ayuda con la solicitud de recoleccion de residuos, limpieza de trampas de grasa y limpieza de pozos sépticos</t>
  </si>
  <si>
    <t>REDUCIR EL RIESGO</t>
  </si>
  <si>
    <t>Realizar capacitaciones en las unidades en donde existen riesgo de vertimientos (por ejemplo comedores o donde se dictan talleres industriales como mantenimiento de motos, mantenimiento de vehículos, serigrafia, belleza, vitrales, mantenimiento de bicicletas, etc.) sobre el manejo de los residuos liquidos a fuentes hídricas</t>
  </si>
  <si>
    <t xml:space="preserve">Control 1: Durante el periodo comprendido del 1 de enero al 30 de Abril del 2025, Se recibieron 51 solicitudes de los servicios de  limpieza de trampa de grasa y pozos septicos,   las cuales  fueron atendidas en terminos de oportunidad y efectividad.
Control 2: Durante el periodo comprendido del 1 de enero al 30 de Abril del 2025,  se obtuvieron  los informes de resultados de las caracterizaciones de agua residual que se tomaron en el mes de diciembre del 2024 y enero del 2025 Los cuales estan siendo revisado y analizados por el personal tecnico del proceso para poder determinar que parametros se estan incumpliendo y en que UPIS. Lo anterior teniendo en cuenta que hasta el mes de marzo se contrato todo el personal tecnico del proceso de gestion ambiental..
Control 3. No se pudo ejecutar el control teniendo en cuenta que el personal tecnico de asesoramiento ambiental, fue contratado en su totalidad hasta la mitad del mes de marzo del 2025, por tal motivo este control se aplicara hasta el II Cuatrimestre </t>
  </si>
  <si>
    <t>Control No. 1: Se verifica la aplicación del control con las solicitudes realizadas y gestionadas por medio de la mesa de ayuda
Control No. 2: Se evidencia la aplicación de control con los informes de resultados de las caracterizaciones de agua residual.
Control No. 3: No se evidencia la aplicación de control ya que el proceso indica que no contaron para estre cuatrimestre con el personas técnico de asesoramiento ambiental, el cual fue contratado hasta la mitad del mes de marzo.
Acciones de Fortalecimiento: A la fecha no se han ejecutado actividades de capacitación, ya que el proceso indica que no contaba con el personal técnico de asesoramiento ambiental. Por lo cual esta acción se realizara para el seguno cuatrimestre</t>
  </si>
  <si>
    <t xml:space="preserve">Control No. 1: Se evidencio la ejecución de la actividad del control con las solicitudes realizadas y gestionadas por medio de la mesa de ayuda
Control No. 2: Se evidencio la ejecución de la actividad del control con los  informes de resultados de las caracterizaciones de agua residual.
Control No. 3: Se reporto que durante este periodo no se dio aplicación a la actividad de control toda vez que, el personal tecnico de asesoramiento ambiental, fue contratado en su totalidad hasta la mitad del mes de marzo del 2025, por tal motivo este control se aplicara hasta el II Cuatrimestre 
Acciones de Fortalecimiento: Se reporto que durante este periodo no se dio aplicación a la acción de fortalecimiento teniendo en cuenta que el personal tecnico de asesoramiento ambiental, fue contratado en su totalidad hasta la mitad del mes de marzo del 2025, por tal motivo este control se aplicara hasta el II Cuatrimestre.
No se materializo el riesgo
Recomendación: se sugiere cumplir con la periodicidad de los reportes y optimizar la planeación de los recursos, evitando que la contratación del personal afecte la ejecución oportuna de las actividades de control. Con estas medidas, se favorecerá una gestión más eficiente y transparente.
</t>
  </si>
  <si>
    <r>
      <t xml:space="preserve">El contratista seleccionado por la entidad, realiza mediciones una vez al año  a todas las Upis </t>
    </r>
    <r>
      <rPr>
        <sz val="12"/>
        <rFont val="Times New Roman"/>
        <family val="1"/>
      </rPr>
      <t>en las cuales se presentan vertimientos no domesticos</t>
    </r>
    <r>
      <rPr>
        <sz val="12"/>
        <color theme="1"/>
        <rFont val="Times New Roman"/>
        <family val="1"/>
      </rPr>
      <t xml:space="preserve">  verificando si se cumplen con los parametros establecidos en las resoluciones 631 de 2015 y  3957 de 2009 para el vertimiento de aguas a redes de alcantarillado. </t>
    </r>
  </si>
  <si>
    <t>Manual de Saneamiento Básico  A-GAM-MA-001</t>
  </si>
  <si>
    <t>Anual</t>
  </si>
  <si>
    <t>Informe s de resultados</t>
  </si>
  <si>
    <r>
      <rPr>
        <sz val="12"/>
        <color rgb="FF000000"/>
        <rFont val="Times New Roman"/>
      </rPr>
      <t xml:space="preserve">Los profesionales del </t>
    </r>
    <r>
      <rPr>
        <sz val="12"/>
        <rFont val="Times New Roman"/>
        <family val="1"/>
      </rPr>
      <t>proceso</t>
    </r>
    <r>
      <rPr>
        <sz val="12"/>
        <color rgb="FF000000"/>
        <rFont val="Times New Roman"/>
      </rPr>
      <t xml:space="preserve"> de gestión ambiental, en el momento en que se detecta un vertimiento por fuera de los parámetros establecidos, realiza la intervención de la upi o sede administrativa para identificar las razones que generan los resultados obtenidos y  </t>
    </r>
    <r>
      <rPr>
        <sz val="12"/>
        <rFont val="Times New Roman"/>
        <family val="1"/>
      </rPr>
      <t>proponer</t>
    </r>
    <r>
      <rPr>
        <sz val="12"/>
        <color rgb="FF000000"/>
        <rFont val="Times New Roman"/>
      </rPr>
      <t xml:space="preserve">  los controles operativos y/o de  infraestructura  para  lograr que la caracterizacion del agua cumpla con los parametros establecidos en las resoluciones de vertimientos.</t>
    </r>
  </si>
  <si>
    <t>en el momento en que se detecta un vertimiento por fuetra de los parámetros establecidos</t>
  </si>
  <si>
    <t>A-GDO-FT-004 Acta de Visita</t>
  </si>
  <si>
    <t xml:space="preserve">incumplimiento de los lineamientos legales y operacionales por realización de intervenciones forestales sin  contar con los permisos sin autorizacion de la autoridad ambiental   </t>
  </si>
  <si>
    <t xml:space="preserve">Posibles afectaciones economicas por multas y sanciones debido al incumplimiento de los lineamientos legales y operacionales por realización de intervenciones forestales sin  contar con los permisos y/o autorizacion de la autoridad ambiental   </t>
  </si>
  <si>
    <t>Los responsables ambientales de cada una de las unidades de protección integral rurales del IDIPRON y los profesionales del área de gestión ambiental , cada vez que van a realizar  una intervención forestal verifican los lineamientos establecidos en el Instructivo de Aprovechamiento Forestal  A-GAM-IN-002,  con el fin de garantizar el cumplimiento de los requistos dejando evidencia de su cumplimiento en los formatos A-GAM-FT-024 registro de visita para el aprovechamiento forestal en las upis y sedes del IDIPRON</t>
  </si>
  <si>
    <t>Instructivo de Aprovechamiento Forestal  A-GAM-IN-002</t>
  </si>
  <si>
    <t>cada vez que van a realizar  una intervención forestal</t>
  </si>
  <si>
    <t>formatos A-GAM-FT-024 registro de visita para el aprovechamiento forestal en las upis y sedes del IDIPRON</t>
  </si>
  <si>
    <t xml:space="preserve">Realizar capacitaciones frente a los controles operacionales existentes en el Instructivo de Aprovechamiento Forestañ  a los refrentes y responsables de las unidades de proteción integral  rurales </t>
  </si>
  <si>
    <t>Control 1: Durante el perido comprendido del 1 de enerp al 31 de Diciembre del 2024, ninguna de las Unidades de Protección Integral Externas (UPI San Francisco, La Vega, El Edén, Carmen de Apicala, Arcadia y La Florida  reportaron la necesidad de realizar aprovechamiento forestal de arboles. Diferentes a los ya reportados en la vigencia 2024. Por lo anterior no se aplico este control durante este periodod. 
Sin embargo se gestiono la renovación deñ  permiso de apovechamiento forestal  para la UPI  La Florida.
Control 2. No se pudo ejecutar el control teniendo en cuenta que el personal tecnico de asesoramiento ambiental, fue contratado en su totalidad hasta la mitad del mes de marzo del 2025, por tal motivo este control se aplicara hasta el II Cuatrimestre 
Control 3:El Gerente Administrativo del 1 de enero al 30 de abril del 2025,  gestiono  los recursos necesarios para adelantar la contratación de una empresa especializada para realizar el aprovechamiento forestal de la UPI La Florida, El cual se encuentra en etaqpa de estructuración. 
Control 4  Durante el perido comprendido del 1 de enero al 30 de abril  del 2025, teniendo en cuenta que no se materializo el riesgo. No se aplico el control.
Control 5:Durante el perido comprendido del 1 de enero al 30 de abril del 2025, no se ha suscrito ningun contrato para el aprovechamiento forestal en el cual se haya incluido el requwerimiento de las polizas de aseguramiento del control</t>
  </si>
  <si>
    <t>Control No. 1: No se evidencia la aplicaicón del control ya que el proceso indica que no se reporto la necesidad de realizar el aprovechamiento forestal de arboles para las unidades de protección integral externas
Control No. 2: Para este periodo no se evidencia la aplicación del control ya que el proceso indica que no contaba con el personal técnico de asesoramiento ambiental.
Control No. 3:  Se verifica la aplicación del control con las cotizaciones y el estudio de mercado para la contratación de aprovechamiento forestal
Control No.4: Para este periodo no se evidencia la aplicación del control ya que el proceso indica que no se ha materializado el riesgo.
Control No 5: No se implementó el control para este periodo ya que el proceso indica que no se ha suscrito nungún contrato para el aprovechamiento forestal en el cual se le haya incluido polizas de aseguramiento
Acciones de Fortalecimiento: A la fecha no se han ejecutado actividades de capacitación, ya que el proceso indica que no contaba con el personal técnico de asesoramiento ambiental. Por lo cual esta acción se realizara para el seguno cuatrimestre
Para el periodo no se materializó el riesgo</t>
  </si>
  <si>
    <t>Control No. 1: Se reporto que durante este periodo no se dio aplicación a la actividad de control debido a que no se reporto la necesidad de realizar el aprovechamiento forestal de arboles para las unidades de protección integral externas
Control No. 2: No se aporto evidencia que de cuenta de la ejecución de la actividad de control, debido a que el proceso indica que no contaba con el personal técnico de asesoramiento ambiental.
Control No. 3:  Se evidencio la ejecución de la actividad del control con las cotizaciones y el estudio de mercado para la contratación de aprovechamiento forestal
Control No.4: Se reporto que durante este periodo no se dio aplicación a la actividad de control, el proceso indica que no se ha materializado el riesgo.
Control No 5: Se reporto que durante este periodo no se dio aplicación a la actividad de control, el proceso indica que no se ha suscrito nungún contrato para el aprovechamiento forestal en el cual se le haya incluido polizas de aseguramiento
Acción de fortalecimiento: Se reporto que durante este periodo no se dio aplicación a la acción de fortalecimiento teniendo en cuenta que el personal tecnico de asesoramiento ambiental, fue contratado en su totalidad hasta la mitad del mes de marzo del 2025, por tal motivo este control se aplicara hasta el II Cuatrimestre.
No se materializo el riesgo
Recomendación: se sugiere cumplir con la periodicidad de los reportes y optimizar la planeación de los recursos, evitando que la contratación del personal afecte la ejecución oportuna de las actividades de control. Con estas medidas, se favorecerá una gestión más eficiente y transparente.</t>
  </si>
  <si>
    <t>La Gerente Administrativa, cada vez que se requiera realizar aprovechamiento forestal en las Unidades, gestiona los recursos necesarios para la contratación del corte y siembra de los árboles autorizados por la autoridad ambiental.</t>
  </si>
  <si>
    <t>Aprovechamiento Forestal  A-GAM-IN-002</t>
  </si>
  <si>
    <t>cada vez que se requiera realizar aprovechamiento forestal</t>
  </si>
  <si>
    <t>Los profesionales del área de gestión ambiental, en el momento en que se detecta una intervención forestal que no contó con los permisos y/o autorizacion de la autoridad ambiental, proceden a reportar el caso ante la autoridad y realizar las gestiones que se dispongan.</t>
  </si>
  <si>
    <t>en el momento en que se detecta una intervención forestal</t>
  </si>
  <si>
    <t xml:space="preserve">Actualizar el formato de aprocechamiento forestal
</t>
  </si>
  <si>
    <t>Cada vez que se adelante proceso de estructuración de aprovechamiento forestal, el comité estructurador incluye dentro de los amparos exigidos a los proponentes, la suscripción de tomas de aseguramiento relacionadas con la calidad del servicio, cumplimiento a las obligaciones contractuales y la responsabilidad civil extracontractual frente al posible mal aprovechamiento forestal</t>
  </si>
  <si>
    <t xml:space="preserve">incumplimiento de los lineamientos legales y operacionales por contaminación visual generada por avisos instalados en las fachadas, murales artísticos o vehiculos de la entidad  sin  contar con los permisos de la autoridad ambiental  </t>
  </si>
  <si>
    <t xml:space="preserve">Posibles afectaciones economicas por multas y sanciones debido al incumplimiento de los lineamientos legales y operacionales por contaminación visual generada por avisos instalados en las fachadas, murales artísticos o vehiculos de la entidad  sin  contar con los permisos de la autoridad ambiental    </t>
  </si>
  <si>
    <t>Cada vez que se vaya a pintar o adherir  elementos publicitarios en las fachadas de las Sedes Administrativas, Unidades de Protección Integral y en los vehículos institucionales , la Gerencia Administrativa por medio del equipo técnico que conforma el proceso de gestión ambiental bridará el asesoramiento para las condiciones técnicas que se deben cumplir</t>
  </si>
  <si>
    <t>Manual de Publicidad Exterior Visual A-GAM-MA-005</t>
  </si>
  <si>
    <t>Cada vez que se vaya a pintar o adherir  elementos publicitarios en las fachadas de las Sedes Administrativas, Unidades de Protección Integral y en los vehículos institucionales</t>
  </si>
  <si>
    <t>Realizar capacitaciones frente a los controles operacionales existentes en el Manual de Publicidad Exterior Visual  a los refrentes y responables de las unidades de proteción integral y sedes administrativas</t>
  </si>
  <si>
    <t>30 de agosto de 2024</t>
  </si>
  <si>
    <t xml:space="preserve">Debido a lo establecido en el Acuerdo 927 del 2024, en su articulo 227,  El registro de publicidad exterior visual Registro de la publicidad exterior visual en sus jurisdicciones. Modifíquese el artículo 30 del Acuerdo Distrital 01 de 1998, compilado en el Decreto Distrital 959 de 2000, en el sentido de incluir el siguiente parágrafo:
“Parágrafo. Únicamente serán objeto de registro los elementos que cuenten con una dimensión igual o superior a ocho (8) metros cuadrados”. 
Teniendo en cuenta lo anterior, al modificarce la norma que generaba el registro de los avisos que tiene el IDIPRON en sus Fachadas y Vehiculo y teniendo en cuenta que los avisios no superan los 3 M^3. Ya no es obligacion de la entidad registrar y pagar por estos avisos.
Eliminando el Riesgo de Gestion que tenia el proceso de Gestion ambiental .
Se solicitara Modificación al Mapa de Riesgos de Gestión para que se elimien este riesgo 
 </t>
  </si>
  <si>
    <t>N/A</t>
  </si>
  <si>
    <t>Para este seguimiento no se evidencia la aplicación de los controles del riesgo No.4. ya que el proceso informa que por una modificación en la normativia: Acuerdo 927 del 2024, Art 227; la entidad ya no tiene la obligación de registrar y pagar por los avisos, por lo cual el proceso solicitara la eliminación del riesgo.</t>
  </si>
  <si>
    <t xml:space="preserve">No se aporto evidencia que de cuenta de la ejecución de las actividades de los 6 controles definidos, lo anterior, debido a que el proceso informa que por una modificación en la normativia: Acuerdo 927 del 2024, Art 227; la entidad ya no tiene la obligación de registrar y pagar por los avisos, por lo cual el proceso solicitara la eliminación del riesgo.
Recomendacion: se sugiere proceder con la solicitud formal de eliminación del riesgo. Asimismo, es fundamental actualizar los procedimientos internos para reflejar esta nueva disposición, asegurando la coherencia entre la normativa vigente y la gestión del riesgo. Además, se sugiere documentar adecuadamente la justificación de esta modificación, a fin de mantener la trazabilidad y transparencia del proceso.
</t>
  </si>
  <si>
    <t xml:space="preserve">Cada vez que se vaya a pintar o adherir  elementos publicitarios en las fachadas de las Sedes Administrativas, Unidades de Protección Integral y en los vehículos institucionales, la Gerencia Administrativa por medio del equipo técnico que conforma el proceso de gestión ambiental realizará los trámites administrativos para la legalización ante la autoridad ambiental y de patrimonio </t>
  </si>
  <si>
    <t xml:space="preserve">Mensualmente, los profesionales, tecnólogos o técnicos del proceso de Gestión Ambiental, realizan visita a todas las Unidades de Protección Integral, revisando el cumplimiento a los lineamientos técnicos relacionados con la publicidad exterior visual </t>
  </si>
  <si>
    <t>Semestralmente,  la Gerencia Administrativa por medio del equipo técnico que conforma el proceso de gestión ambiental realiza la verificación de la vigencia de los permisos de publicidad exterior visual de las unidades y vehiuculos institucionales</t>
  </si>
  <si>
    <t>Base de datos de las unidades y vehiculos con la información de la vigencia de los permisos
A-GDO-FT-004 Acta de Revisión</t>
  </si>
  <si>
    <t>En caso de detectar un aviso o mural  que incumpla los lineamientos establecidos para la publicidad exterior visual, la Gerencia Administrativa por medio del equipo técnico que conforma el proceso de gestión ambiental, solicita a la Gerencia de Recursos Físicos la adecuación de la fachada para que cumpla los lineamientos técnicos del Manual de Publicidad Exterior Visual.</t>
  </si>
  <si>
    <t>No se encuentra documentado</t>
  </si>
  <si>
    <t>En caso de detectar un aviso o mural  que incumpla los lineamientos establecidos para la publicidad exterior visual</t>
  </si>
  <si>
    <t>Correo Electrónico</t>
  </si>
  <si>
    <t>En caso de detectar un vehiculo que incumpla los lineamientos establecidos para la publicidad exterior visual, la Gerencia Administrativa por medio del equipo técnico que conforma el proceso de gestión ambiental, solicita al proceso de Servicios Administrativos la adecuación del vehiculo para que cumpla los lineamientos técnicos del Manual de Publicidad Exterior Visual.</t>
  </si>
  <si>
    <t>En caso de detectar un vehiculo que incumpla los lineamientos establecidos para la publicidad exterior visual</t>
  </si>
  <si>
    <t>area de impacto</t>
  </si>
  <si>
    <t>PROBABILIDAD DE OCURRENCIA</t>
  </si>
  <si>
    <t>IMPACTO</t>
  </si>
  <si>
    <t>CONDICIONES RIESGO INHERENTE</t>
  </si>
  <si>
    <t>AFECTACIÓN ECONÓMICA O PRESUPUESTAL</t>
  </si>
  <si>
    <t>MUY BAJA</t>
  </si>
  <si>
    <t>LEVE</t>
  </si>
  <si>
    <t>MUY BAJA - LEVE</t>
  </si>
  <si>
    <t>BAJO</t>
  </si>
  <si>
    <t>Afectación Menor a 700 SMLMV</t>
  </si>
  <si>
    <t>Leve</t>
  </si>
  <si>
    <t>Reputacional</t>
  </si>
  <si>
    <t>BAJA</t>
  </si>
  <si>
    <t>MENOR</t>
  </si>
  <si>
    <t>MUY BAJA - MENOR</t>
  </si>
  <si>
    <t>Afectación Entre 700 y 1500 SMLMV</t>
  </si>
  <si>
    <t>Menor</t>
  </si>
  <si>
    <t>Económico y Reputacional</t>
  </si>
  <si>
    <t>MEDIA</t>
  </si>
  <si>
    <t>MODERADO</t>
  </si>
  <si>
    <t>MUY BAJA - MODERADO</t>
  </si>
  <si>
    <t>Afectación Entre 1500 y 2300 SMLMV</t>
  </si>
  <si>
    <t>Moderado</t>
  </si>
  <si>
    <t>ALTA</t>
  </si>
  <si>
    <t>MAYOR</t>
  </si>
  <si>
    <t>MUY BAJA - MAYOR</t>
  </si>
  <si>
    <t>ALTO</t>
  </si>
  <si>
    <t>Afectación Entre 2300 y 3000 SMLMV</t>
  </si>
  <si>
    <t>Mayor</t>
  </si>
  <si>
    <t>MUY ALTA</t>
  </si>
  <si>
    <t>CATASTRÓFICO</t>
  </si>
  <si>
    <t>MUY BAJA - CATASTRÓFICO</t>
  </si>
  <si>
    <t>EXTREMO</t>
  </si>
  <si>
    <t>Catastrófico</t>
  </si>
  <si>
    <t>BAJA - LEVE</t>
  </si>
  <si>
    <t>BAJA - MENOR</t>
  </si>
  <si>
    <t>AFECTACIÓN REPUTACIONAL</t>
  </si>
  <si>
    <t>BAJA - MODERADO</t>
  </si>
  <si>
    <t>El riesgo afecta la imagen de algún área de la organización.</t>
  </si>
  <si>
    <t>BAJA - MAYOR</t>
  </si>
  <si>
    <t>El riesgo afecta la imagen de la entidad internamente, de conocimiento general nivel interno, de junta directiva y/o de proveedores</t>
  </si>
  <si>
    <t>BAJA - CATASTRÓFICO</t>
  </si>
  <si>
    <t>El riesgo afecta la imagen de la entidad con algunos usuarios de relevancia frente al logro de los objetivos.</t>
  </si>
  <si>
    <t>MEDIA - LEVE</t>
  </si>
  <si>
    <t>El riesgo afecta la imagen de la entidad con efecto publicitario sostenido a nivel de sector administrativo o distrital</t>
  </si>
  <si>
    <t>MEDIA - MENOR</t>
  </si>
  <si>
    <t>El riesgo afecta la imagen de la entidad a nivel nacional, con efecto publicitario sostenido a nivel país</t>
  </si>
  <si>
    <t>MEDIA - MODERADO</t>
  </si>
  <si>
    <t>MEDIA - MAYOR</t>
  </si>
  <si>
    <t>MEDIA - CATASTRÓFICO</t>
  </si>
  <si>
    <t>ALTA - LEVE</t>
  </si>
  <si>
    <t>TIPO DE CONTROL</t>
  </si>
  <si>
    <t>ALTA - MENOR</t>
  </si>
  <si>
    <t>ALTA - MODERADO</t>
  </si>
  <si>
    <t>ALTA - MAYOR</t>
  </si>
  <si>
    <t>ALTA - CATASTRÓFICO</t>
  </si>
  <si>
    <t>MUY ALTA - LEVE</t>
  </si>
  <si>
    <t>IMPLEMENTACIÓN</t>
  </si>
  <si>
    <t>MUY ALTA - MENOR</t>
  </si>
  <si>
    <t>Automático</t>
  </si>
  <si>
    <t>MUY ALTA - MODERADO</t>
  </si>
  <si>
    <t>MUY ALTA - MAYOR</t>
  </si>
  <si>
    <t>MUY ALTA - CATASTRÓFICO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</si>
</sst>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0.0%"/>
  </numFmts>
  <fonts count="20">
    <font>
      <sz val="11"/>
      <color theme="1"/>
      <name val="Calibri"/>
      <family val="2"/>
      <scheme val="minor"/>
    </font>
    <font>
      <b/>
      <sz val="12"/>
      <color theme="1"/>
      <name val="Times New Roman"/>
      <family val="1"/>
    </font>
    <font>
      <sz val="12"/>
      <color theme="1"/>
      <name val="Times New Roman"/>
      <family val="1"/>
    </font>
    <font>
      <sz val="14"/>
      <color theme="1"/>
      <name val="Times New Roman"/>
      <family val="1"/>
    </font>
    <font>
      <b/>
      <sz val="10"/>
      <color theme="1"/>
      <name val="Times New Roman"/>
      <family val="1"/>
    </font>
    <font>
      <sz val="14"/>
      <name val="Times New Roman"/>
      <family val="1"/>
    </font>
    <font>
      <sz val="11"/>
      <color theme="1"/>
      <name val="Calibri"/>
      <family val="2"/>
      <scheme val="minor"/>
    </font>
    <font>
      <b/>
      <sz val="11"/>
      <color theme="1"/>
      <name val="Calibri"/>
      <family val="2"/>
      <scheme val="minor"/>
    </font>
    <font>
      <b/>
      <sz val="16"/>
      <color theme="1"/>
      <name val="Times New Roman"/>
      <family val="1"/>
    </font>
    <font>
      <sz val="12"/>
      <name val="Times New Roman"/>
      <family val="1"/>
    </font>
    <font>
      <b/>
      <sz val="18"/>
      <color theme="1"/>
      <name val="Times New Roman"/>
      <family val="1"/>
    </font>
    <font>
      <sz val="10"/>
      <color theme="1"/>
      <name val="Times New Roman"/>
      <family val="1"/>
    </font>
    <font>
      <b/>
      <sz val="14"/>
      <color theme="1"/>
      <name val="Times New Roman"/>
      <family val="1"/>
    </font>
    <font>
      <sz val="10"/>
      <color rgb="FF000000"/>
      <name val="Times New Roman"/>
      <family val="1"/>
    </font>
    <font>
      <sz val="12"/>
      <color rgb="FF000000"/>
      <name val="Times New Roman"/>
    </font>
    <font>
      <sz val="12"/>
      <color rgb="FFFF0000"/>
      <name val="Times New Roman"/>
      <family val="1"/>
    </font>
    <font>
      <sz val="11"/>
      <color theme="1"/>
      <name val="Times New Roman"/>
      <family val="1"/>
    </font>
    <font>
      <sz val="14"/>
      <color rgb="FFFF0000"/>
      <name val="Times New Roman"/>
      <family val="1"/>
    </font>
    <font>
      <sz val="10"/>
      <color rgb="FF000000"/>
      <name val="Times New Roman"/>
    </font>
    <font>
      <sz val="10"/>
      <color theme="1"/>
      <name val="Times New Roman"/>
    </font>
  </fonts>
  <fills count="6">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7" tint="0.7999816888943144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bottom/>
      <diagonal/>
    </border>
    <border>
      <left style="medium">
        <color indexed="64"/>
      </left>
      <right style="thin">
        <color indexed="64"/>
      </right>
      <top/>
      <bottom style="medium">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rgb="FF000000"/>
      </bottom>
      <diagonal/>
    </border>
    <border>
      <left style="thin">
        <color rgb="FF000000"/>
      </left>
      <right style="thin">
        <color rgb="FF000000"/>
      </right>
      <top style="thin">
        <color rgb="FF000000"/>
      </top>
      <bottom style="thin">
        <color rgb="FF000000"/>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thin">
        <color rgb="FF000000"/>
      </right>
      <top style="thin">
        <color indexed="64"/>
      </top>
      <bottom/>
      <diagonal/>
    </border>
    <border>
      <left style="medium">
        <color indexed="64"/>
      </left>
      <right style="thin">
        <color rgb="FF000000"/>
      </right>
      <top/>
      <bottom/>
      <diagonal/>
    </border>
    <border>
      <left style="medium">
        <color indexed="64"/>
      </left>
      <right style="thin">
        <color rgb="FF000000"/>
      </right>
      <top/>
      <bottom style="medium">
        <color indexed="64"/>
      </bottom>
      <diagonal/>
    </border>
    <border>
      <left style="medium">
        <color indexed="64"/>
      </left>
      <right/>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medium">
        <color indexed="64"/>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s>
  <cellStyleXfs count="2">
    <xf numFmtId="0" fontId="0" fillId="0" borderId="0"/>
    <xf numFmtId="41" fontId="6" fillId="0" borderId="0" applyFont="0" applyFill="0" applyBorder="0" applyAlignment="0" applyProtection="0"/>
  </cellStyleXfs>
  <cellXfs count="311">
    <xf numFmtId="0" fontId="0" fillId="0" borderId="0" xfId="0"/>
    <xf numFmtId="0" fontId="2" fillId="0" borderId="0" xfId="0" applyFont="1"/>
    <xf numFmtId="0" fontId="2" fillId="0" borderId="0" xfId="0" applyFont="1" applyAlignment="1">
      <alignment horizontal="left"/>
    </xf>
    <xf numFmtId="0" fontId="0" fillId="0" borderId="0" xfId="0" applyAlignment="1">
      <alignment horizontal="left"/>
    </xf>
    <xf numFmtId="0" fontId="2" fillId="0" borderId="0" xfId="0" applyFont="1" applyAlignment="1">
      <alignment wrapText="1"/>
    </xf>
    <xf numFmtId="0" fontId="0" fillId="0" borderId="0" xfId="0" applyAlignment="1">
      <alignment horizontal="center" vertical="center"/>
    </xf>
    <xf numFmtId="0" fontId="2" fillId="0" borderId="1" xfId="0" applyFont="1" applyBorder="1" applyAlignment="1">
      <alignment horizontal="center" vertical="center" textRotation="90"/>
    </xf>
    <xf numFmtId="0" fontId="1" fillId="0" borderId="0" xfId="0" applyFont="1" applyAlignment="1">
      <alignment horizontal="center" vertical="center" wrapText="1"/>
    </xf>
    <xf numFmtId="0" fontId="2" fillId="0" borderId="13" xfId="0" applyFont="1" applyBorder="1" applyAlignment="1">
      <alignment horizontal="center" vertical="center"/>
    </xf>
    <xf numFmtId="0" fontId="2" fillId="0" borderId="15" xfId="0" applyFont="1" applyBorder="1" applyAlignment="1">
      <alignment horizontal="center" vertical="center"/>
    </xf>
    <xf numFmtId="0" fontId="2" fillId="0" borderId="1" xfId="0" applyFont="1" applyBorder="1" applyAlignment="1">
      <alignment horizontal="center" vertical="center" textRotation="90" wrapText="1"/>
    </xf>
    <xf numFmtId="0" fontId="3" fillId="2" borderId="30" xfId="0" applyFont="1" applyFill="1" applyBorder="1" applyAlignment="1">
      <alignment horizontal="center" vertical="center" textRotation="90"/>
    </xf>
    <xf numFmtId="0" fontId="5" fillId="2" borderId="5"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5" xfId="0" applyFont="1" applyFill="1" applyBorder="1" applyAlignment="1">
      <alignment horizontal="center" vertical="center" wrapText="1"/>
    </xf>
    <xf numFmtId="0" fontId="2" fillId="2" borderId="31" xfId="0" applyFont="1" applyFill="1" applyBorder="1" applyAlignment="1">
      <alignment horizontal="center" vertical="center" textRotation="90" wrapText="1"/>
    </xf>
    <xf numFmtId="0" fontId="2" fillId="2" borderId="30" xfId="0" applyFont="1" applyFill="1" applyBorder="1" applyAlignment="1">
      <alignment horizontal="center" vertical="center" textRotation="90"/>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textRotation="90"/>
    </xf>
    <xf numFmtId="0" fontId="2" fillId="2" borderId="5" xfId="0" applyFont="1" applyFill="1" applyBorder="1" applyAlignment="1">
      <alignment horizontal="center" vertical="center" textRotation="90" wrapText="1"/>
    </xf>
    <xf numFmtId="0" fontId="2" fillId="2" borderId="30" xfId="0" applyFont="1" applyFill="1" applyBorder="1" applyAlignment="1">
      <alignment horizontal="center" vertical="center"/>
    </xf>
    <xf numFmtId="0" fontId="2" fillId="0" borderId="18" xfId="0" applyFont="1" applyBorder="1" applyAlignment="1">
      <alignment horizontal="center" vertical="center"/>
    </xf>
    <xf numFmtId="0" fontId="2" fillId="0" borderId="16" xfId="0" applyFont="1" applyBorder="1" applyAlignment="1">
      <alignment horizontal="center" vertical="center" textRotation="90"/>
    </xf>
    <xf numFmtId="0" fontId="2" fillId="0" borderId="16" xfId="0" applyFont="1" applyBorder="1" applyAlignment="1">
      <alignment horizontal="center" vertical="center" textRotation="90" wrapText="1"/>
    </xf>
    <xf numFmtId="0" fontId="3" fillId="3" borderId="5" xfId="0" applyFont="1" applyFill="1" applyBorder="1" applyAlignment="1">
      <alignment horizontal="center" vertical="center" wrapText="1"/>
    </xf>
    <xf numFmtId="9" fontId="0" fillId="0" borderId="0" xfId="0" applyNumberFormat="1"/>
    <xf numFmtId="0" fontId="7" fillId="0" borderId="0" xfId="0" applyFont="1"/>
    <xf numFmtId="0" fontId="0" fillId="0" borderId="0" xfId="0" applyAlignment="1">
      <alignment wrapText="1"/>
    </xf>
    <xf numFmtId="9" fontId="0" fillId="0" borderId="0" xfId="0" applyNumberFormat="1" applyAlignment="1">
      <alignment horizontal="center"/>
    </xf>
    <xf numFmtId="0" fontId="1" fillId="0" borderId="0" xfId="0" applyFont="1" applyAlignment="1">
      <alignment horizontal="center" vertical="center"/>
    </xf>
    <xf numFmtId="0" fontId="2" fillId="0" borderId="0" xfId="0" applyFont="1" applyAlignment="1">
      <alignment horizontal="justify" vertical="center" wrapText="1"/>
    </xf>
    <xf numFmtId="0" fontId="2" fillId="2" borderId="23" xfId="0" applyFont="1" applyFill="1" applyBorder="1"/>
    <xf numFmtId="0" fontId="2" fillId="2" borderId="7" xfId="0" applyFont="1" applyFill="1" applyBorder="1"/>
    <xf numFmtId="0" fontId="2" fillId="0" borderId="10" xfId="0" applyFont="1" applyBorder="1" applyAlignment="1">
      <alignment horizontal="justify" vertical="center" wrapText="1"/>
    </xf>
    <xf numFmtId="0" fontId="1" fillId="2" borderId="5" xfId="0" applyFont="1" applyFill="1" applyBorder="1" applyAlignment="1">
      <alignment horizontal="center" vertical="center"/>
    </xf>
    <xf numFmtId="0" fontId="2" fillId="0" borderId="6" xfId="0" applyFont="1" applyBorder="1" applyAlignment="1">
      <alignment horizontal="center" vertical="center" textRotation="90"/>
    </xf>
    <xf numFmtId="0" fontId="2" fillId="0" borderId="6" xfId="0" applyFont="1" applyBorder="1" applyAlignment="1">
      <alignment horizontal="center" vertical="center" textRotation="90" wrapText="1"/>
    </xf>
    <xf numFmtId="0" fontId="2" fillId="0" borderId="21" xfId="0" applyFont="1" applyBorder="1" applyAlignment="1">
      <alignment horizontal="left"/>
    </xf>
    <xf numFmtId="0" fontId="2" fillId="0" borderId="10" xfId="0" applyFont="1" applyBorder="1" applyAlignment="1">
      <alignment horizontal="center" vertical="center" textRotation="90"/>
    </xf>
    <xf numFmtId="0" fontId="2" fillId="0" borderId="10" xfId="0" applyFont="1" applyBorder="1" applyAlignment="1">
      <alignment horizontal="center" vertical="center" textRotation="90" wrapText="1"/>
    </xf>
    <xf numFmtId="0" fontId="2" fillId="0" borderId="29" xfId="0" applyFont="1" applyBorder="1" applyAlignment="1">
      <alignment horizontal="left"/>
    </xf>
    <xf numFmtId="0" fontId="2" fillId="2" borderId="31" xfId="0" applyFont="1" applyFill="1" applyBorder="1" applyAlignment="1">
      <alignment horizontal="center" vertical="center" wrapText="1"/>
    </xf>
    <xf numFmtId="0" fontId="11" fillId="0" borderId="0" xfId="0" applyFont="1"/>
    <xf numFmtId="0" fontId="4" fillId="0" borderId="0" xfId="0" applyFont="1"/>
    <xf numFmtId="0" fontId="11" fillId="2" borderId="30" xfId="0" applyFont="1" applyFill="1" applyBorder="1" applyAlignment="1">
      <alignment horizontal="center" vertical="center" wrapText="1"/>
    </xf>
    <xf numFmtId="0" fontId="11" fillId="2" borderId="4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2" fillId="0" borderId="30" xfId="0" applyFont="1" applyBorder="1" applyAlignment="1">
      <alignment horizontal="center" vertical="center"/>
    </xf>
    <xf numFmtId="0" fontId="2" fillId="0" borderId="5" xfId="0" applyFont="1" applyBorder="1" applyAlignment="1">
      <alignment horizontal="justify" vertical="center" wrapText="1"/>
    </xf>
    <xf numFmtId="0" fontId="2" fillId="0" borderId="5" xfId="0" applyFont="1" applyBorder="1" applyAlignment="1">
      <alignment horizontal="center" vertical="center" textRotation="90"/>
    </xf>
    <xf numFmtId="0" fontId="2" fillId="0" borderId="5" xfId="0" applyFont="1" applyBorder="1" applyAlignment="1">
      <alignment horizontal="center" vertical="center" textRotation="90" wrapText="1"/>
    </xf>
    <xf numFmtId="0" fontId="2" fillId="4" borderId="10"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16" xfId="0" applyFont="1" applyFill="1" applyBorder="1" applyAlignment="1">
      <alignment horizontal="center" vertical="center"/>
    </xf>
    <xf numFmtId="0" fontId="2" fillId="4" borderId="6" xfId="0" applyFont="1" applyFill="1" applyBorder="1" applyAlignment="1">
      <alignment horizontal="center" vertical="center"/>
    </xf>
    <xf numFmtId="9" fontId="9" fillId="4" borderId="10" xfId="0" applyNumberFormat="1" applyFont="1" applyFill="1" applyBorder="1" applyAlignment="1">
      <alignment horizontal="center" vertical="center"/>
    </xf>
    <xf numFmtId="9" fontId="9" fillId="4" borderId="1" xfId="0" applyNumberFormat="1" applyFont="1" applyFill="1" applyBorder="1" applyAlignment="1">
      <alignment horizontal="center" vertical="center"/>
    </xf>
    <xf numFmtId="9" fontId="9" fillId="4" borderId="16" xfId="0" applyNumberFormat="1" applyFont="1" applyFill="1" applyBorder="1" applyAlignment="1">
      <alignment horizontal="center" vertical="center"/>
    </xf>
    <xf numFmtId="9" fontId="9" fillId="4" borderId="6" xfId="0" applyNumberFormat="1" applyFont="1" applyFill="1" applyBorder="1" applyAlignment="1">
      <alignment horizontal="center" vertical="center"/>
    </xf>
    <xf numFmtId="9" fontId="2" fillId="4" borderId="10" xfId="0" applyNumberFormat="1" applyFont="1" applyFill="1" applyBorder="1" applyAlignment="1">
      <alignment horizontal="center" vertical="center"/>
    </xf>
    <xf numFmtId="0" fontId="2" fillId="4" borderId="10" xfId="0" applyFont="1" applyFill="1" applyBorder="1" applyAlignment="1">
      <alignment horizontal="center" vertical="center" textRotation="90"/>
    </xf>
    <xf numFmtId="164" fontId="2" fillId="4" borderId="10" xfId="0" applyNumberFormat="1" applyFont="1" applyFill="1" applyBorder="1" applyAlignment="1">
      <alignment horizontal="center" vertical="center"/>
    </xf>
    <xf numFmtId="0" fontId="3" fillId="4" borderId="10" xfId="0" applyFont="1" applyFill="1" applyBorder="1" applyAlignment="1">
      <alignment horizontal="center" vertical="center" textRotation="90"/>
    </xf>
    <xf numFmtId="9" fontId="2" fillId="4" borderId="10" xfId="0" applyNumberFormat="1" applyFont="1" applyFill="1" applyBorder="1" applyAlignment="1">
      <alignment horizontal="center" vertical="center" textRotation="90"/>
    </xf>
    <xf numFmtId="9" fontId="2" fillId="4" borderId="1" xfId="0" applyNumberFormat="1" applyFont="1" applyFill="1" applyBorder="1" applyAlignment="1">
      <alignment horizontal="center" vertical="center"/>
    </xf>
    <xf numFmtId="0" fontId="2" fillId="4" borderId="1" xfId="0" applyFont="1" applyFill="1" applyBorder="1" applyAlignment="1">
      <alignment horizontal="center" vertical="center" textRotation="90"/>
    </xf>
    <xf numFmtId="164" fontId="2" fillId="4" borderId="1" xfId="0" applyNumberFormat="1" applyFont="1" applyFill="1" applyBorder="1" applyAlignment="1">
      <alignment horizontal="center" vertical="center"/>
    </xf>
    <xf numFmtId="0" fontId="3" fillId="4" borderId="1" xfId="0" applyFont="1" applyFill="1" applyBorder="1" applyAlignment="1">
      <alignment horizontal="center" vertical="center" textRotation="90"/>
    </xf>
    <xf numFmtId="9" fontId="2" fillId="4" borderId="1" xfId="0" applyNumberFormat="1" applyFont="1" applyFill="1" applyBorder="1" applyAlignment="1">
      <alignment horizontal="center" vertical="center" textRotation="90"/>
    </xf>
    <xf numFmtId="9" fontId="2" fillId="4" borderId="16" xfId="0" applyNumberFormat="1" applyFont="1" applyFill="1" applyBorder="1" applyAlignment="1">
      <alignment horizontal="center" vertical="center"/>
    </xf>
    <xf numFmtId="0" fontId="2" fillId="4" borderId="16" xfId="0" applyFont="1" applyFill="1" applyBorder="1" applyAlignment="1">
      <alignment horizontal="center" vertical="center" textRotation="90"/>
    </xf>
    <xf numFmtId="164" fontId="2" fillId="4" borderId="16" xfId="0" applyNumberFormat="1" applyFont="1" applyFill="1" applyBorder="1" applyAlignment="1">
      <alignment horizontal="center" vertical="center"/>
    </xf>
    <xf numFmtId="0" fontId="3" fillId="4" borderId="16" xfId="0" applyFont="1" applyFill="1" applyBorder="1" applyAlignment="1">
      <alignment horizontal="center" vertical="center" textRotation="90"/>
    </xf>
    <xf numFmtId="9" fontId="2" fillId="4" borderId="16" xfId="0" applyNumberFormat="1" applyFont="1" applyFill="1" applyBorder="1" applyAlignment="1">
      <alignment horizontal="center" vertical="center" textRotation="90"/>
    </xf>
    <xf numFmtId="9" fontId="2" fillId="4" borderId="6" xfId="0" applyNumberFormat="1" applyFont="1" applyFill="1" applyBorder="1" applyAlignment="1">
      <alignment horizontal="center" vertical="center"/>
    </xf>
    <xf numFmtId="0" fontId="2" fillId="4" borderId="6" xfId="0" applyFont="1" applyFill="1" applyBorder="1" applyAlignment="1">
      <alignment horizontal="center" vertical="center" textRotation="90"/>
    </xf>
    <xf numFmtId="164" fontId="2" fillId="4" borderId="6" xfId="0" applyNumberFormat="1" applyFont="1" applyFill="1" applyBorder="1" applyAlignment="1">
      <alignment horizontal="center" vertical="center"/>
    </xf>
    <xf numFmtId="0" fontId="3" fillId="4" borderId="6" xfId="0" applyFont="1" applyFill="1" applyBorder="1" applyAlignment="1">
      <alignment horizontal="center" vertical="center" textRotation="90"/>
    </xf>
    <xf numFmtId="9" fontId="2" fillId="4" borderId="6" xfId="0" applyNumberFormat="1" applyFont="1" applyFill="1" applyBorder="1" applyAlignment="1">
      <alignment horizontal="center" vertical="center" textRotation="90"/>
    </xf>
    <xf numFmtId="0" fontId="2" fillId="4" borderId="10" xfId="0" applyFont="1" applyFill="1" applyBorder="1" applyAlignment="1">
      <alignment vertical="center" textRotation="90"/>
    </xf>
    <xf numFmtId="0" fontId="2" fillId="4" borderId="1" xfId="0" applyFont="1" applyFill="1" applyBorder="1" applyAlignment="1">
      <alignment vertical="center" textRotation="90"/>
    </xf>
    <xf numFmtId="0" fontId="2" fillId="4" borderId="6" xfId="0" applyFont="1" applyFill="1" applyBorder="1" applyAlignment="1">
      <alignment vertical="center" textRotation="90"/>
    </xf>
    <xf numFmtId="0" fontId="0" fillId="0" borderId="29" xfId="0" applyBorder="1"/>
    <xf numFmtId="9" fontId="2" fillId="4" borderId="5" xfId="0" applyNumberFormat="1" applyFont="1" applyFill="1" applyBorder="1" applyAlignment="1">
      <alignment horizontal="center" vertical="center" textRotation="90"/>
    </xf>
    <xf numFmtId="0" fontId="2" fillId="0" borderId="23" xfId="0" applyFont="1" applyBorder="1" applyAlignment="1">
      <alignment horizontal="center" vertical="center"/>
    </xf>
    <xf numFmtId="0" fontId="2" fillId="0" borderId="41" xfId="0" applyFont="1" applyBorder="1" applyAlignment="1">
      <alignment horizontal="center" vertical="center"/>
    </xf>
    <xf numFmtId="0" fontId="2" fillId="4" borderId="5" xfId="0" applyFont="1" applyFill="1" applyBorder="1" applyAlignment="1">
      <alignment horizontal="center" vertical="center"/>
    </xf>
    <xf numFmtId="9" fontId="9" fillId="4" borderId="5" xfId="0" applyNumberFormat="1" applyFont="1" applyFill="1" applyBorder="1" applyAlignment="1">
      <alignment horizontal="center" vertical="center"/>
    </xf>
    <xf numFmtId="9" fontId="2" fillId="4" borderId="5" xfId="0" applyNumberFormat="1" applyFont="1" applyFill="1" applyBorder="1" applyAlignment="1">
      <alignment horizontal="center" vertical="center"/>
    </xf>
    <xf numFmtId="0" fontId="12" fillId="4" borderId="5" xfId="0" applyFont="1" applyFill="1" applyBorder="1" applyAlignment="1">
      <alignment horizontal="center" vertical="center" textRotation="90"/>
    </xf>
    <xf numFmtId="0" fontId="1" fillId="4" borderId="5" xfId="0" applyFont="1" applyFill="1" applyBorder="1" applyAlignment="1">
      <alignment vertical="center" textRotation="90"/>
    </xf>
    <xf numFmtId="0" fontId="2" fillId="0" borderId="18" xfId="0" applyFont="1" applyBorder="1" applyAlignment="1">
      <alignment horizontal="justify" vertical="center" wrapText="1"/>
    </xf>
    <xf numFmtId="0" fontId="2" fillId="4" borderId="19" xfId="0" applyFont="1" applyFill="1" applyBorder="1" applyAlignment="1">
      <alignment vertical="center" textRotation="90"/>
    </xf>
    <xf numFmtId="0" fontId="2" fillId="0" borderId="13" xfId="0" applyFont="1" applyBorder="1" applyAlignment="1">
      <alignment horizontal="justify" vertical="center" wrapText="1"/>
    </xf>
    <xf numFmtId="0" fontId="2" fillId="4" borderId="14" xfId="0" applyFont="1" applyFill="1" applyBorder="1" applyAlignment="1">
      <alignment vertical="center" textRotation="90"/>
    </xf>
    <xf numFmtId="0" fontId="2" fillId="4" borderId="17" xfId="0" applyFont="1" applyFill="1" applyBorder="1" applyAlignment="1">
      <alignment vertical="center" textRotation="90"/>
    </xf>
    <xf numFmtId="9" fontId="2" fillId="4" borderId="45" xfId="0" applyNumberFormat="1" applyFont="1" applyFill="1" applyBorder="1" applyAlignment="1">
      <alignment horizontal="center" vertical="center"/>
    </xf>
    <xf numFmtId="0" fontId="2" fillId="4" borderId="5" xfId="0" applyFont="1" applyFill="1" applyBorder="1" applyAlignment="1">
      <alignment horizontal="center" vertical="center" textRotation="90"/>
    </xf>
    <xf numFmtId="0" fontId="2" fillId="0" borderId="16" xfId="0" applyFont="1" applyBorder="1" applyAlignment="1">
      <alignment horizontal="justify" vertical="center" wrapText="1"/>
    </xf>
    <xf numFmtId="0" fontId="9" fillId="0" borderId="10" xfId="0" applyFont="1" applyBorder="1" applyAlignment="1">
      <alignment horizontal="center" vertical="center" textRotation="90" wrapText="1"/>
    </xf>
    <xf numFmtId="0" fontId="9" fillId="0" borderId="1" xfId="0" applyFont="1" applyBorder="1" applyAlignment="1">
      <alignment horizontal="justify" vertical="center" wrapText="1"/>
    </xf>
    <xf numFmtId="0" fontId="9" fillId="0" borderId="5" xfId="0" applyFont="1" applyBorder="1" applyAlignment="1">
      <alignment horizontal="justify" vertical="center" wrapText="1"/>
    </xf>
    <xf numFmtId="0" fontId="2" fillId="0" borderId="9" xfId="0" applyFont="1" applyBorder="1" applyAlignment="1">
      <alignment horizontal="center" vertical="center" textRotation="90" wrapText="1"/>
    </xf>
    <xf numFmtId="164" fontId="16" fillId="4" borderId="10" xfId="0" applyNumberFormat="1" applyFont="1" applyFill="1" applyBorder="1" applyAlignment="1">
      <alignment horizontal="center" vertical="center"/>
    </xf>
    <xf numFmtId="164" fontId="16" fillId="4" borderId="1" xfId="0" applyNumberFormat="1" applyFont="1" applyFill="1" applyBorder="1" applyAlignment="1">
      <alignment horizontal="center" vertical="center"/>
    </xf>
    <xf numFmtId="164" fontId="16" fillId="4" borderId="46" xfId="0" applyNumberFormat="1" applyFont="1" applyFill="1" applyBorder="1" applyAlignment="1">
      <alignment horizontal="center" vertical="center"/>
    </xf>
    <xf numFmtId="0" fontId="2" fillId="0" borderId="27" xfId="0" applyFont="1" applyBorder="1" applyAlignment="1">
      <alignment horizontal="center" vertical="center"/>
    </xf>
    <xf numFmtId="0" fontId="3" fillId="4" borderId="5" xfId="0" applyFont="1" applyFill="1" applyBorder="1" applyAlignment="1">
      <alignment horizontal="center" vertical="center" textRotation="90"/>
    </xf>
    <xf numFmtId="0" fontId="2" fillId="4" borderId="5" xfId="0" applyFont="1" applyFill="1" applyBorder="1" applyAlignment="1">
      <alignment vertical="center" textRotation="90"/>
    </xf>
    <xf numFmtId="0" fontId="15" fillId="5" borderId="5" xfId="0" applyFont="1" applyFill="1" applyBorder="1" applyAlignment="1">
      <alignment horizontal="center" vertical="center" textRotation="90" wrapText="1"/>
    </xf>
    <xf numFmtId="0" fontId="2" fillId="0" borderId="15" xfId="0" applyFont="1" applyBorder="1" applyAlignment="1">
      <alignment horizontal="justify" vertical="top" wrapText="1"/>
    </xf>
    <xf numFmtId="0" fontId="2" fillId="0" borderId="35" xfId="0" applyFont="1" applyBorder="1" applyAlignment="1">
      <alignment horizontal="center" vertical="center"/>
    </xf>
    <xf numFmtId="0" fontId="15" fillId="0" borderId="21" xfId="0" applyFont="1" applyBorder="1" applyAlignment="1">
      <alignment vertical="center" wrapText="1"/>
    </xf>
    <xf numFmtId="41" fontId="15" fillId="0" borderId="21" xfId="1" applyFont="1" applyBorder="1" applyAlignment="1">
      <alignment vertical="center" wrapText="1"/>
    </xf>
    <xf numFmtId="0" fontId="2" fillId="4" borderId="16" xfId="0" applyFont="1" applyFill="1" applyBorder="1" applyAlignment="1">
      <alignment vertical="center" textRotation="90"/>
    </xf>
    <xf numFmtId="0" fontId="2" fillId="0" borderId="52" xfId="0" applyFont="1" applyBorder="1" applyAlignment="1">
      <alignment horizontal="center" vertical="center"/>
    </xf>
    <xf numFmtId="0" fontId="2" fillId="0" borderId="53" xfId="0" applyFont="1" applyBorder="1" applyAlignment="1">
      <alignment horizontal="center" vertical="center"/>
    </xf>
    <xf numFmtId="164" fontId="2" fillId="4" borderId="5" xfId="0" applyNumberFormat="1" applyFont="1" applyFill="1" applyBorder="1" applyAlignment="1">
      <alignment horizontal="center" vertical="center"/>
    </xf>
    <xf numFmtId="0" fontId="2" fillId="0" borderId="36" xfId="0" applyFont="1" applyBorder="1" applyAlignment="1">
      <alignment horizontal="justify" vertical="center" wrapText="1"/>
    </xf>
    <xf numFmtId="0" fontId="9" fillId="0" borderId="30" xfId="0" applyFont="1" applyBorder="1" applyAlignment="1">
      <alignment horizontal="justify" vertical="center" wrapText="1"/>
    </xf>
    <xf numFmtId="0" fontId="2" fillId="0" borderId="33" xfId="0" applyFont="1" applyBorder="1" applyAlignment="1">
      <alignment horizontal="center" vertical="center" textRotation="90" wrapText="1"/>
    </xf>
    <xf numFmtId="0" fontId="2" fillId="0" borderId="43" xfId="0" applyFont="1" applyBorder="1" applyAlignment="1">
      <alignment horizontal="center" vertical="center"/>
    </xf>
    <xf numFmtId="0" fontId="9" fillId="0" borderId="36" xfId="0" applyFont="1" applyBorder="1" applyAlignment="1">
      <alignment horizontal="justify" vertical="center" wrapText="1"/>
    </xf>
    <xf numFmtId="0" fontId="9" fillId="0" borderId="37" xfId="0" applyFont="1" applyBorder="1" applyAlignment="1">
      <alignment horizontal="justify" vertical="center" wrapText="1"/>
    </xf>
    <xf numFmtId="0" fontId="9" fillId="0" borderId="5" xfId="0" applyFont="1" applyBorder="1" applyAlignment="1">
      <alignment horizontal="center" vertical="center" textRotation="90" wrapText="1"/>
    </xf>
    <xf numFmtId="0" fontId="9" fillId="0" borderId="6" xfId="0" applyFont="1" applyBorder="1" applyAlignment="1">
      <alignment horizontal="justify" vertical="center" wrapText="1"/>
    </xf>
    <xf numFmtId="0" fontId="9" fillId="0" borderId="9" xfId="0" applyFont="1" applyBorder="1" applyAlignment="1">
      <alignment horizontal="justify" vertical="center" wrapText="1"/>
    </xf>
    <xf numFmtId="14" fontId="0" fillId="0" borderId="0" xfId="0" applyNumberFormat="1"/>
    <xf numFmtId="0" fontId="1" fillId="2" borderId="8" xfId="0" applyFont="1" applyFill="1" applyBorder="1" applyAlignment="1">
      <alignment horizontal="center"/>
    </xf>
    <xf numFmtId="0" fontId="1" fillId="2" borderId="9" xfId="0" applyFont="1" applyFill="1" applyBorder="1" applyAlignment="1">
      <alignment horizontal="center"/>
    </xf>
    <xf numFmtId="0" fontId="1" fillId="2" borderId="10" xfId="0" applyFont="1" applyFill="1" applyBorder="1" applyAlignment="1">
      <alignment horizontal="center"/>
    </xf>
    <xf numFmtId="0" fontId="1" fillId="2" borderId="11" xfId="0" applyFont="1" applyFill="1" applyBorder="1" applyAlignment="1">
      <alignment horizontal="center"/>
    </xf>
    <xf numFmtId="0" fontId="2" fillId="2" borderId="6" xfId="0" applyFont="1" applyFill="1" applyBorder="1" applyAlignment="1">
      <alignment horizontal="center"/>
    </xf>
    <xf numFmtId="0" fontId="2" fillId="2" borderId="12" xfId="0" applyFont="1" applyFill="1" applyBorder="1" applyAlignment="1">
      <alignment horizontal="center"/>
    </xf>
    <xf numFmtId="0" fontId="1" fillId="2" borderId="1" xfId="0" applyFont="1" applyFill="1" applyBorder="1" applyAlignment="1">
      <alignment horizontal="center"/>
    </xf>
    <xf numFmtId="9" fontId="3" fillId="4" borderId="10" xfId="0" applyNumberFormat="1" applyFont="1" applyFill="1" applyBorder="1" applyAlignment="1">
      <alignment horizontal="center" vertical="center"/>
    </xf>
    <xf numFmtId="9" fontId="3" fillId="4" borderId="1" xfId="0" applyNumberFormat="1" applyFont="1" applyFill="1" applyBorder="1" applyAlignment="1">
      <alignment horizontal="center" vertical="center"/>
    </xf>
    <xf numFmtId="9" fontId="3" fillId="4" borderId="5" xfId="0" applyNumberFormat="1" applyFont="1" applyFill="1" applyBorder="1" applyAlignment="1">
      <alignment horizontal="center" vertical="center"/>
    </xf>
    <xf numFmtId="9" fontId="3" fillId="4" borderId="16" xfId="0" applyNumberFormat="1" applyFont="1" applyFill="1" applyBorder="1" applyAlignment="1">
      <alignment horizontal="center" vertical="center"/>
    </xf>
    <xf numFmtId="0" fontId="3" fillId="3" borderId="10"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13" fillId="0" borderId="49" xfId="0" applyFont="1" applyBorder="1" applyAlignment="1">
      <alignment vertical="top" wrapText="1"/>
    </xf>
    <xf numFmtId="0" fontId="13" fillId="0" borderId="47" xfId="0" applyFont="1" applyBorder="1" applyAlignment="1">
      <alignment vertical="top" wrapText="1"/>
    </xf>
    <xf numFmtId="0" fontId="13" fillId="0" borderId="50" xfId="0" applyFont="1" applyBorder="1" applyAlignment="1">
      <alignment vertical="top" wrapText="1"/>
    </xf>
    <xf numFmtId="0" fontId="13" fillId="0" borderId="20" xfId="0" applyFont="1" applyBorder="1" applyAlignment="1" applyProtection="1">
      <alignment horizontal="center" vertical="top" wrapText="1"/>
      <protection locked="0"/>
    </xf>
    <xf numFmtId="0" fontId="11" fillId="0" borderId="27" xfId="0" applyFont="1" applyBorder="1" applyAlignment="1" applyProtection="1">
      <alignment horizontal="center" vertical="top" wrapText="1"/>
      <protection locked="0"/>
    </xf>
    <xf numFmtId="0" fontId="3" fillId="0" borderId="18" xfId="0" applyFont="1" applyBorder="1" applyAlignment="1">
      <alignment horizontal="center" vertical="center"/>
    </xf>
    <xf numFmtId="0" fontId="3" fillId="0" borderId="35" xfId="0" applyFont="1" applyBorder="1" applyAlignment="1">
      <alignment horizontal="center" vertical="center"/>
    </xf>
    <xf numFmtId="0" fontId="3" fillId="0" borderId="15" xfId="0" applyFont="1" applyBorder="1" applyAlignment="1">
      <alignment horizontal="center" vertical="center"/>
    </xf>
    <xf numFmtId="0" fontId="3" fillId="0" borderId="10" xfId="0" applyFont="1" applyBorder="1" applyAlignment="1">
      <alignment horizontal="center" vertical="center"/>
    </xf>
    <xf numFmtId="0" fontId="3" fillId="0" borderId="32" xfId="0" applyFont="1" applyBorder="1" applyAlignment="1">
      <alignment horizontal="center" vertical="center"/>
    </xf>
    <xf numFmtId="0" fontId="3" fillId="0" borderId="16" xfId="0" applyFont="1" applyBorder="1" applyAlignment="1">
      <alignment horizontal="center" vertical="center"/>
    </xf>
    <xf numFmtId="0" fontId="3" fillId="0" borderId="10"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16" xfId="0" applyFont="1" applyBorder="1" applyAlignment="1">
      <alignment horizontal="center" vertical="center" wrapText="1"/>
    </xf>
    <xf numFmtId="0" fontId="3" fillId="3" borderId="32" xfId="0" applyFont="1" applyFill="1" applyBorder="1" applyAlignment="1">
      <alignment horizontal="center" vertical="center" wrapText="1"/>
    </xf>
    <xf numFmtId="0" fontId="3" fillId="4" borderId="10" xfId="0" applyFont="1" applyFill="1" applyBorder="1" applyAlignment="1">
      <alignment horizontal="center" vertical="center"/>
    </xf>
    <xf numFmtId="0" fontId="3" fillId="4" borderId="32" xfId="0" applyFont="1" applyFill="1" applyBorder="1" applyAlignment="1">
      <alignment horizontal="center" vertical="center"/>
    </xf>
    <xf numFmtId="0" fontId="3" fillId="4" borderId="16" xfId="0" applyFont="1" applyFill="1" applyBorder="1" applyAlignment="1">
      <alignment horizontal="center" vertical="center"/>
    </xf>
    <xf numFmtId="9" fontId="3" fillId="4" borderId="32" xfId="0" applyNumberFormat="1" applyFont="1" applyFill="1" applyBorder="1" applyAlignment="1">
      <alignment horizontal="center" vertical="center"/>
    </xf>
    <xf numFmtId="0" fontId="13" fillId="0" borderId="49" xfId="0" applyFont="1" applyBorder="1" applyAlignment="1">
      <alignment horizontal="center" vertical="top" wrapText="1"/>
    </xf>
    <xf numFmtId="0" fontId="13" fillId="0" borderId="47" xfId="0" applyFont="1" applyBorder="1" applyAlignment="1">
      <alignment horizontal="center" vertical="top" wrapText="1"/>
    </xf>
    <xf numFmtId="0" fontId="13" fillId="0" borderId="50" xfId="0" applyFont="1" applyBorder="1" applyAlignment="1">
      <alignment horizontal="center" vertical="top" wrapText="1"/>
    </xf>
    <xf numFmtId="0" fontId="1" fillId="0" borderId="12" xfId="0" applyFont="1" applyBorder="1" applyAlignment="1">
      <alignment horizontal="center" vertical="center" textRotation="90"/>
    </xf>
    <xf numFmtId="0" fontId="1" fillId="0" borderId="31" xfId="0" applyFont="1" applyBorder="1" applyAlignment="1">
      <alignment horizontal="center" vertical="center" textRotation="90"/>
    </xf>
    <xf numFmtId="14" fontId="11" fillId="0" borderId="35" xfId="0" applyNumberFormat="1" applyFont="1" applyBorder="1" applyAlignment="1" applyProtection="1">
      <alignment horizontal="center" vertical="top" wrapText="1"/>
      <protection locked="0"/>
    </xf>
    <xf numFmtId="14" fontId="11" fillId="0" borderId="35" xfId="0" applyNumberFormat="1" applyFont="1" applyBorder="1" applyAlignment="1" applyProtection="1">
      <alignment horizontal="center" vertical="top"/>
      <protection locked="0"/>
    </xf>
    <xf numFmtId="14" fontId="11" fillId="0" borderId="37" xfId="0" applyNumberFormat="1" applyFont="1" applyBorder="1" applyAlignment="1" applyProtection="1">
      <alignment horizontal="center" vertical="top"/>
      <protection locked="0"/>
    </xf>
    <xf numFmtId="0" fontId="18" fillId="0" borderId="35" xfId="0" applyFont="1" applyBorder="1" applyAlignment="1">
      <alignment vertical="top" wrapText="1"/>
    </xf>
    <xf numFmtId="0" fontId="13" fillId="0" borderId="35" xfId="0" applyFont="1" applyBorder="1" applyAlignment="1">
      <alignment vertical="top" wrapText="1"/>
    </xf>
    <xf numFmtId="0" fontId="13" fillId="0" borderId="48" xfId="0" applyFont="1" applyBorder="1" applyAlignment="1">
      <alignment vertical="top" wrapText="1"/>
    </xf>
    <xf numFmtId="0" fontId="13" fillId="0" borderId="35" xfId="0" applyFont="1" applyBorder="1" applyAlignment="1">
      <alignment horizontal="center" vertical="top" wrapText="1"/>
    </xf>
    <xf numFmtId="0" fontId="13" fillId="0" borderId="48" xfId="0" applyFont="1" applyBorder="1" applyAlignment="1">
      <alignment horizontal="center" vertical="top" wrapText="1"/>
    </xf>
    <xf numFmtId="14" fontId="11" fillId="0" borderId="35" xfId="0" applyNumberFormat="1" applyFont="1" applyBorder="1" applyAlignment="1" applyProtection="1">
      <alignment horizontal="center" vertical="center"/>
      <protection locked="0"/>
    </xf>
    <xf numFmtId="14" fontId="11" fillId="0" borderId="37" xfId="0" applyNumberFormat="1" applyFont="1" applyBorder="1" applyAlignment="1" applyProtection="1">
      <alignment horizontal="center" vertical="center"/>
      <protection locked="0"/>
    </xf>
    <xf numFmtId="9" fontId="3" fillId="0" borderId="9" xfId="0" applyNumberFormat="1" applyFont="1" applyBorder="1" applyAlignment="1">
      <alignment horizontal="center" vertical="center" wrapText="1"/>
    </xf>
    <xf numFmtId="9" fontId="3" fillId="0" borderId="32" xfId="0" applyNumberFormat="1" applyFont="1" applyBorder="1" applyAlignment="1">
      <alignment horizontal="center" vertical="center" wrapText="1"/>
    </xf>
    <xf numFmtId="9" fontId="3" fillId="0" borderId="33" xfId="0" applyNumberFormat="1" applyFont="1" applyBorder="1" applyAlignment="1">
      <alignment horizontal="center" vertical="center" wrapText="1"/>
    </xf>
    <xf numFmtId="41" fontId="3" fillId="0" borderId="9" xfId="1" applyFont="1" applyBorder="1" applyAlignment="1">
      <alignment horizontal="center" vertical="center" wrapText="1"/>
    </xf>
    <xf numFmtId="41" fontId="3" fillId="0" borderId="32" xfId="1" applyFont="1" applyBorder="1" applyAlignment="1">
      <alignment horizontal="center" vertical="center" wrapText="1"/>
    </xf>
    <xf numFmtId="41" fontId="3" fillId="0" borderId="33" xfId="1" applyFont="1" applyBorder="1" applyAlignment="1">
      <alignment horizontal="center" vertical="center" wrapText="1"/>
    </xf>
    <xf numFmtId="0" fontId="4" fillId="0" borderId="20"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5"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0" xfId="0" applyFont="1" applyAlignment="1">
      <alignment horizontal="center" vertical="center" wrapText="1"/>
    </xf>
    <xf numFmtId="0" fontId="8" fillId="0" borderId="26"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5" xfId="0" applyFont="1" applyBorder="1" applyAlignment="1">
      <alignment horizontal="center" vertical="center" wrapText="1"/>
    </xf>
    <xf numFmtId="0" fontId="1" fillId="2" borderId="20" xfId="0" applyFont="1" applyFill="1" applyBorder="1" applyAlignment="1">
      <alignment horizontal="center" vertical="center"/>
    </xf>
    <xf numFmtId="0" fontId="1" fillId="2" borderId="21" xfId="0" applyFont="1" applyFill="1" applyBorder="1" applyAlignment="1">
      <alignment horizontal="center" vertical="center"/>
    </xf>
    <xf numFmtId="0" fontId="1" fillId="2" borderId="22" xfId="0" applyFont="1" applyFill="1" applyBorder="1" applyAlignment="1">
      <alignment horizontal="center" vertical="center"/>
    </xf>
    <xf numFmtId="0" fontId="1" fillId="2" borderId="23"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24" xfId="0" applyFont="1" applyFill="1" applyBorder="1" applyAlignment="1">
      <alignment horizontal="center" vertical="center"/>
    </xf>
    <xf numFmtId="0" fontId="9" fillId="0" borderId="8"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37" xfId="0" applyFont="1" applyBorder="1" applyAlignment="1">
      <alignment horizontal="center" vertical="center" wrapText="1"/>
    </xf>
    <xf numFmtId="41" fontId="9" fillId="0" borderId="9" xfId="1" applyFont="1" applyBorder="1" applyAlignment="1">
      <alignment horizontal="center" vertical="center" wrapText="1"/>
    </xf>
    <xf numFmtId="41" fontId="9" fillId="0" borderId="32" xfId="1" applyFont="1" applyBorder="1" applyAlignment="1">
      <alignment horizontal="center" vertical="center" wrapText="1"/>
    </xf>
    <xf numFmtId="41" fontId="9" fillId="0" borderId="33" xfId="1" applyFont="1" applyBorder="1" applyAlignment="1">
      <alignment horizontal="center" vertical="center" wrapText="1"/>
    </xf>
    <xf numFmtId="14" fontId="9" fillId="0" borderId="11" xfId="1" applyNumberFormat="1" applyFont="1" applyBorder="1" applyAlignment="1">
      <alignment horizontal="center" vertical="center" wrapText="1"/>
    </xf>
    <xf numFmtId="41" fontId="9" fillId="0" borderId="38" xfId="1" applyFont="1" applyBorder="1" applyAlignment="1">
      <alignment horizontal="center" vertical="center" wrapText="1"/>
    </xf>
    <xf numFmtId="41" fontId="9" fillId="0" borderId="39" xfId="1" applyFont="1" applyBorder="1" applyAlignment="1">
      <alignment horizontal="center" vertical="center" wrapText="1"/>
    </xf>
    <xf numFmtId="9" fontId="3" fillId="4" borderId="9" xfId="0" applyNumberFormat="1" applyFont="1" applyFill="1" applyBorder="1" applyAlignment="1">
      <alignment horizontal="center" vertical="center"/>
    </xf>
    <xf numFmtId="9" fontId="3" fillId="4" borderId="33" xfId="0" applyNumberFormat="1" applyFont="1" applyFill="1" applyBorder="1" applyAlignment="1">
      <alignment horizontal="center" vertical="center"/>
    </xf>
    <xf numFmtId="0" fontId="1" fillId="0" borderId="19" xfId="0" applyFont="1" applyBorder="1" applyAlignment="1">
      <alignment horizontal="center" vertical="center" textRotation="90"/>
    </xf>
    <xf numFmtId="0" fontId="1" fillId="0" borderId="14" xfId="0" applyFont="1" applyBorder="1" applyAlignment="1">
      <alignment horizontal="center" vertical="center" textRotation="90"/>
    </xf>
    <xf numFmtId="0" fontId="1" fillId="0" borderId="17" xfId="0" applyFont="1" applyBorder="1" applyAlignment="1">
      <alignment horizontal="center" vertical="center" textRotation="90"/>
    </xf>
    <xf numFmtId="0" fontId="1" fillId="2" borderId="1" xfId="0" applyFont="1" applyFill="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2" fillId="0" borderId="2"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14" fontId="11" fillId="0" borderId="30" xfId="0" applyNumberFormat="1" applyFont="1" applyBorder="1" applyAlignment="1" applyProtection="1">
      <alignment horizontal="center" vertical="center"/>
      <protection locked="0"/>
    </xf>
    <xf numFmtId="0" fontId="11" fillId="0" borderId="35" xfId="0" applyFont="1" applyBorder="1" applyAlignment="1" applyProtection="1">
      <alignment horizontal="center" vertical="center"/>
      <protection locked="0"/>
    </xf>
    <xf numFmtId="14" fontId="11" fillId="0" borderId="30" xfId="0" applyNumberFormat="1" applyFont="1" applyBorder="1" applyAlignment="1" applyProtection="1">
      <alignment horizontal="center" vertical="top" wrapText="1"/>
      <protection locked="0"/>
    </xf>
    <xf numFmtId="0" fontId="11" fillId="0" borderId="35" xfId="0" applyFont="1" applyBorder="1" applyAlignment="1" applyProtection="1">
      <alignment horizontal="center" vertical="top"/>
      <protection locked="0"/>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1" fillId="2" borderId="18"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3" fillId="5" borderId="10" xfId="0" applyFont="1" applyFill="1" applyBorder="1" applyAlignment="1">
      <alignment horizontal="center" vertical="center"/>
    </xf>
    <xf numFmtId="0" fontId="3" fillId="5" borderId="1" xfId="0" applyFont="1" applyFill="1" applyBorder="1" applyAlignment="1">
      <alignment horizontal="center" vertical="center"/>
    </xf>
    <xf numFmtId="0" fontId="3" fillId="5" borderId="5" xfId="0" applyFont="1" applyFill="1" applyBorder="1" applyAlignment="1">
      <alignment horizontal="center" vertical="center"/>
    </xf>
    <xf numFmtId="0" fontId="3" fillId="5" borderId="16"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5" xfId="0" applyFont="1" applyFill="1" applyBorder="1" applyAlignment="1">
      <alignment horizontal="center" vertical="center"/>
    </xf>
    <xf numFmtId="0" fontId="10" fillId="4" borderId="9" xfId="0" applyFont="1" applyFill="1" applyBorder="1" applyAlignment="1">
      <alignment horizontal="center" vertical="center" textRotation="90"/>
    </xf>
    <xf numFmtId="0" fontId="10" fillId="4" borderId="32" xfId="0" applyFont="1" applyFill="1" applyBorder="1" applyAlignment="1">
      <alignment horizontal="center" vertical="center" textRotation="90"/>
    </xf>
    <xf numFmtId="0" fontId="10" fillId="4" borderId="33" xfId="0" applyFont="1" applyFill="1" applyBorder="1" applyAlignment="1">
      <alignment horizontal="center" vertical="center" textRotation="90"/>
    </xf>
    <xf numFmtId="0" fontId="19" fillId="0" borderId="59" xfId="0" applyFont="1" applyBorder="1" applyAlignment="1">
      <alignment horizontal="left" vertical="top" wrapText="1"/>
    </xf>
    <xf numFmtId="0" fontId="19" fillId="0" borderId="60" xfId="0" applyFont="1" applyBorder="1" applyAlignment="1">
      <alignment horizontal="left" vertical="top" wrapText="1"/>
    </xf>
    <xf numFmtId="0" fontId="1" fillId="0" borderId="42" xfId="0" applyFont="1" applyBorder="1" applyAlignment="1">
      <alignment horizontal="center" vertical="center" textRotation="90"/>
    </xf>
    <xf numFmtId="0" fontId="1" fillId="0" borderId="43" xfId="0" applyFont="1" applyBorder="1" applyAlignment="1">
      <alignment horizontal="center" vertical="center" textRotation="90"/>
    </xf>
    <xf numFmtId="0" fontId="1" fillId="0" borderId="44" xfId="0" applyFont="1" applyBorder="1" applyAlignment="1">
      <alignment horizontal="center" vertical="center" textRotation="90"/>
    </xf>
    <xf numFmtId="0" fontId="3" fillId="4" borderId="6" xfId="0" applyFont="1" applyFill="1" applyBorder="1" applyAlignment="1">
      <alignment horizontal="center" vertical="center"/>
    </xf>
    <xf numFmtId="9" fontId="3" fillId="4" borderId="6" xfId="0" applyNumberFormat="1" applyFont="1" applyFill="1" applyBorder="1" applyAlignment="1">
      <alignment horizontal="center" vertical="center"/>
    </xf>
    <xf numFmtId="0" fontId="9" fillId="0" borderId="9"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33" xfId="0" applyFont="1" applyBorder="1" applyAlignment="1">
      <alignment horizontal="center" vertical="center" wrapText="1"/>
    </xf>
    <xf numFmtId="14" fontId="9" fillId="0" borderId="11" xfId="0" applyNumberFormat="1" applyFont="1" applyBorder="1" applyAlignment="1">
      <alignment horizontal="center" vertical="center" wrapText="1"/>
    </xf>
    <xf numFmtId="14" fontId="9" fillId="0" borderId="38" xfId="0" applyNumberFormat="1" applyFont="1" applyBorder="1" applyAlignment="1">
      <alignment horizontal="center" vertical="center" wrapText="1"/>
    </xf>
    <xf numFmtId="14" fontId="9" fillId="0" borderId="39" xfId="0" applyNumberFormat="1" applyFont="1" applyBorder="1" applyAlignment="1">
      <alignment horizontal="center" vertical="center" wrapText="1"/>
    </xf>
    <xf numFmtId="0" fontId="19" fillId="0" borderId="62" xfId="0" applyFont="1" applyBorder="1" applyAlignment="1">
      <alignment horizontal="center" vertical="top" wrapText="1"/>
    </xf>
    <xf numFmtId="0" fontId="19" fillId="0" borderId="63" xfId="0" applyFont="1" applyBorder="1" applyAlignment="1">
      <alignment horizontal="center" vertical="top" wrapText="1"/>
    </xf>
    <xf numFmtId="0" fontId="19" fillId="0" borderId="64" xfId="0" applyFont="1" applyBorder="1" applyAlignment="1">
      <alignment horizontal="center" vertical="top" wrapText="1"/>
    </xf>
    <xf numFmtId="0" fontId="13" fillId="0" borderId="8" xfId="0" applyFont="1" applyBorder="1" applyAlignment="1">
      <alignment horizontal="center" vertical="top" wrapText="1"/>
    </xf>
    <xf numFmtId="0" fontId="11" fillId="0" borderId="30" xfId="0" applyFont="1" applyBorder="1" applyAlignment="1" applyProtection="1">
      <alignment horizontal="center" vertical="top" wrapText="1"/>
      <protection locked="0"/>
    </xf>
    <xf numFmtId="0" fontId="11" fillId="0" borderId="35" xfId="0" applyFont="1" applyBorder="1" applyAlignment="1" applyProtection="1">
      <alignment horizontal="center" vertical="top" wrapText="1"/>
      <protection locked="0"/>
    </xf>
    <xf numFmtId="0" fontId="13" fillId="0" borderId="8" xfId="0" applyFont="1" applyBorder="1" applyAlignment="1">
      <alignment vertical="top" wrapText="1"/>
    </xf>
    <xf numFmtId="0" fontId="1" fillId="0" borderId="20" xfId="0" applyFont="1" applyBorder="1" applyAlignment="1">
      <alignment horizontal="center" vertical="center"/>
    </xf>
    <xf numFmtId="0" fontId="1" fillId="0" borderId="22" xfId="0" applyFont="1" applyBorder="1" applyAlignment="1">
      <alignment horizontal="center" vertical="center"/>
    </xf>
    <xf numFmtId="0" fontId="1" fillId="0" borderId="28" xfId="0" applyFont="1" applyBorder="1" applyAlignment="1">
      <alignment horizontal="center" vertical="center"/>
    </xf>
    <xf numFmtId="0" fontId="1" fillId="0" borderId="25" xfId="0" applyFont="1" applyBorder="1" applyAlignment="1">
      <alignment horizontal="center" vertical="center"/>
    </xf>
    <xf numFmtId="49" fontId="4" fillId="0" borderId="20" xfId="0" applyNumberFormat="1" applyFont="1" applyBorder="1" applyAlignment="1">
      <alignment horizontal="center" vertical="center" wrapText="1"/>
    </xf>
    <xf numFmtId="49" fontId="4" fillId="0" borderId="22" xfId="0" applyNumberFormat="1" applyFont="1" applyBorder="1" applyAlignment="1">
      <alignment horizontal="center" vertical="center" wrapText="1"/>
    </xf>
    <xf numFmtId="49" fontId="4" fillId="0" borderId="28" xfId="0" applyNumberFormat="1" applyFont="1" applyBorder="1" applyAlignment="1">
      <alignment horizontal="center" vertical="center" wrapText="1"/>
    </xf>
    <xf numFmtId="49" fontId="4" fillId="0" borderId="25" xfId="0" applyNumberFormat="1" applyFont="1" applyBorder="1" applyAlignment="1">
      <alignment horizontal="center" vertical="center" wrapText="1"/>
    </xf>
    <xf numFmtId="14" fontId="1" fillId="0" borderId="20" xfId="0" applyNumberFormat="1" applyFont="1" applyBorder="1" applyAlignment="1">
      <alignment horizontal="center" vertical="center"/>
    </xf>
    <xf numFmtId="0" fontId="13" fillId="0" borderId="54" xfId="0" applyFont="1" applyBorder="1" applyAlignment="1" applyProtection="1">
      <alignment horizontal="center" vertical="top" wrapText="1"/>
      <protection locked="0"/>
    </xf>
    <xf numFmtId="0" fontId="13" fillId="0" borderId="55" xfId="0" applyFont="1" applyBorder="1" applyAlignment="1" applyProtection="1">
      <alignment horizontal="center" vertical="top" wrapText="1"/>
      <protection locked="0"/>
    </xf>
    <xf numFmtId="0" fontId="13" fillId="0" borderId="56" xfId="0" applyFont="1" applyBorder="1" applyAlignment="1" applyProtection="1">
      <alignment horizontal="center" vertical="top" wrapText="1"/>
      <protection locked="0"/>
    </xf>
    <xf numFmtId="0" fontId="13" fillId="0" borderId="54" xfId="0" applyFont="1" applyBorder="1" applyAlignment="1" applyProtection="1">
      <alignment horizontal="left" vertical="top" wrapText="1"/>
      <protection locked="0"/>
    </xf>
    <xf numFmtId="0" fontId="13" fillId="0" borderId="55" xfId="0" applyFont="1" applyBorder="1" applyAlignment="1" applyProtection="1">
      <alignment horizontal="left" vertical="top" wrapText="1"/>
      <protection locked="0"/>
    </xf>
    <xf numFmtId="0" fontId="13" fillId="0" borderId="56" xfId="0" applyFont="1" applyBorder="1" applyAlignment="1" applyProtection="1">
      <alignment horizontal="left" vertical="top" wrapText="1"/>
      <protection locked="0"/>
    </xf>
    <xf numFmtId="0" fontId="13" fillId="0" borderId="61" xfId="0" applyFont="1" applyBorder="1" applyAlignment="1" applyProtection="1">
      <alignment horizontal="left" vertical="top" wrapText="1"/>
      <protection locked="0"/>
    </xf>
    <xf numFmtId="0" fontId="13" fillId="0" borderId="59" xfId="0" applyFont="1" applyBorder="1" applyAlignment="1" applyProtection="1">
      <alignment horizontal="left" vertical="top" wrapText="1"/>
      <protection locked="0"/>
    </xf>
    <xf numFmtId="0" fontId="13" fillId="0" borderId="60" xfId="0" applyFont="1" applyBorder="1" applyAlignment="1" applyProtection="1">
      <alignment horizontal="left" vertical="top" wrapText="1"/>
      <protection locked="0"/>
    </xf>
    <xf numFmtId="0" fontId="11" fillId="0" borderId="30" xfId="0" applyFont="1" applyBorder="1" applyAlignment="1" applyProtection="1">
      <alignment horizontal="left" vertical="top" wrapText="1"/>
      <protection locked="0"/>
    </xf>
    <xf numFmtId="0" fontId="11" fillId="0" borderId="35" xfId="0" applyFont="1" applyBorder="1" applyAlignment="1" applyProtection="1">
      <alignment horizontal="left" vertical="top" wrapText="1"/>
      <protection locked="0"/>
    </xf>
    <xf numFmtId="14" fontId="11" fillId="0" borderId="8" xfId="0" applyNumberFormat="1" applyFont="1" applyBorder="1" applyAlignment="1" applyProtection="1">
      <alignment horizontal="center" vertical="center"/>
      <protection locked="0"/>
    </xf>
    <xf numFmtId="14" fontId="11" fillId="0" borderId="8" xfId="0" applyNumberFormat="1" applyFont="1" applyBorder="1" applyAlignment="1" applyProtection="1">
      <alignment horizontal="center" vertical="top" wrapText="1"/>
      <protection locked="0"/>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13" xfId="0" applyFont="1" applyBorder="1" applyAlignment="1">
      <alignment horizontal="center" vertical="center"/>
    </xf>
    <xf numFmtId="0" fontId="3" fillId="0" borderId="30" xfId="0" applyFont="1" applyBorder="1" applyAlignment="1">
      <alignment horizontal="center" vertical="center"/>
    </xf>
    <xf numFmtId="0" fontId="3" fillId="0" borderId="36" xfId="0" applyFont="1" applyBorder="1" applyAlignment="1">
      <alignment horizontal="center" vertical="center"/>
    </xf>
    <xf numFmtId="0" fontId="3" fillId="0" borderId="6" xfId="0" applyFont="1" applyBorder="1" applyAlignment="1">
      <alignment horizontal="center" vertical="center"/>
    </xf>
    <xf numFmtId="0" fontId="3" fillId="0" borderId="6" xfId="0" applyFont="1" applyBorder="1" applyAlignment="1">
      <alignment horizontal="center" vertical="center" wrapText="1"/>
    </xf>
    <xf numFmtId="0" fontId="3" fillId="3" borderId="6" xfId="0" applyFont="1" applyFill="1" applyBorder="1" applyAlignment="1">
      <alignment horizontal="center" vertical="center" wrapText="1"/>
    </xf>
    <xf numFmtId="0" fontId="5" fillId="0" borderId="6" xfId="0" applyFont="1" applyBorder="1" applyAlignment="1">
      <alignment horizontal="center" vertical="center"/>
    </xf>
    <xf numFmtId="0" fontId="5" fillId="0" borderId="1" xfId="0" applyFont="1" applyBorder="1" applyAlignment="1">
      <alignment horizontal="center" vertical="center"/>
    </xf>
    <xf numFmtId="0" fontId="17" fillId="5" borderId="10" xfId="0" applyFont="1" applyFill="1" applyBorder="1" applyAlignment="1">
      <alignment horizontal="center" vertical="center"/>
    </xf>
    <xf numFmtId="0" fontId="17" fillId="5" borderId="32" xfId="0" applyFont="1" applyFill="1" applyBorder="1" applyAlignment="1">
      <alignment horizontal="center" vertical="center"/>
    </xf>
    <xf numFmtId="0" fontId="17" fillId="5" borderId="16" xfId="0" applyFont="1" applyFill="1" applyBorder="1" applyAlignment="1">
      <alignment horizontal="center" vertical="center"/>
    </xf>
    <xf numFmtId="0" fontId="11" fillId="0" borderId="58" xfId="0" applyFont="1" applyBorder="1" applyAlignment="1">
      <alignment horizontal="left" vertical="top" wrapText="1"/>
    </xf>
    <xf numFmtId="0" fontId="11" fillId="0" borderId="59" xfId="0" applyFont="1" applyBorder="1" applyAlignment="1">
      <alignment horizontal="left" vertical="top" wrapText="1"/>
    </xf>
    <xf numFmtId="0" fontId="11" fillId="0" borderId="60" xfId="0" applyFont="1" applyBorder="1" applyAlignment="1">
      <alignment horizontal="left" vertical="top" wrapText="1"/>
    </xf>
    <xf numFmtId="0" fontId="11" fillId="0" borderId="51" xfId="0" applyFont="1" applyBorder="1" applyAlignment="1">
      <alignment horizontal="left" vertical="top" wrapText="1"/>
    </xf>
    <xf numFmtId="14" fontId="9" fillId="0" borderId="38" xfId="1" applyNumberFormat="1" applyFont="1" applyBorder="1" applyAlignment="1">
      <alignment horizontal="center" vertical="center" wrapText="1"/>
    </xf>
    <xf numFmtId="14" fontId="9" fillId="0" borderId="39" xfId="1" applyNumberFormat="1" applyFont="1" applyBorder="1" applyAlignment="1">
      <alignment horizontal="center" vertical="center" wrapText="1"/>
    </xf>
    <xf numFmtId="0" fontId="13" fillId="0" borderId="27" xfId="0" applyFont="1" applyBorder="1" applyAlignment="1">
      <alignment vertical="top" wrapText="1"/>
    </xf>
    <xf numFmtId="0" fontId="13" fillId="0" borderId="57" xfId="0" applyFont="1" applyBorder="1" applyAlignment="1">
      <alignment vertical="top" wrapText="1"/>
    </xf>
  </cellXfs>
  <cellStyles count="2">
    <cellStyle name="Millares [0]" xfId="1" builtinId="6"/>
    <cellStyle name="Normal" xfId="0" builtinId="0"/>
  </cellStyles>
  <dxfs count="30">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theme="9" tint="0.39994506668294322"/>
        </patternFill>
      </fill>
    </dxf>
    <dxf>
      <fill>
        <patternFill>
          <bgColor rgb="FF00B050"/>
        </patternFill>
      </fill>
    </dxf>
    <dxf>
      <fill>
        <patternFill>
          <bgColor rgb="FFFFFF00"/>
        </patternFill>
      </fill>
    </dxf>
    <dxf>
      <fill>
        <patternFill>
          <bgColor rgb="FF92D050"/>
        </patternFill>
      </fill>
    </dxf>
    <dxf>
      <fill>
        <patternFill>
          <bgColor rgb="FFFFC000"/>
        </patternFill>
      </fill>
    </dxf>
    <dxf>
      <fill>
        <patternFill>
          <bgColor rgb="FFFF0000"/>
        </patternFill>
      </fill>
    </dxf>
    <dxf>
      <font>
        <b/>
        <i val="0"/>
        <color auto="1"/>
      </font>
      <fill>
        <patternFill>
          <bgColor theme="9" tint="0.39994506668294322"/>
        </patternFill>
      </fill>
    </dxf>
    <dxf>
      <font>
        <b/>
        <i val="0"/>
        <color auto="1"/>
      </font>
      <fill>
        <patternFill>
          <bgColor rgb="FFFFFF00"/>
        </patternFill>
      </fill>
    </dxf>
    <dxf>
      <font>
        <b/>
        <i val="0"/>
        <color auto="1"/>
      </font>
      <fill>
        <patternFill>
          <bgColor theme="5"/>
        </patternFill>
      </fill>
    </dxf>
    <dxf>
      <font>
        <b/>
        <i val="0"/>
        <color auto="1"/>
      </font>
      <fill>
        <patternFill>
          <bgColor rgb="FFFF0000"/>
        </patternFill>
      </fill>
    </dxf>
    <dxf>
      <font>
        <b/>
        <i val="0"/>
        <color auto="1"/>
      </font>
      <fill>
        <patternFill>
          <bgColor rgb="FF00B050"/>
        </patternFill>
      </fill>
    </dxf>
    <dxf>
      <font>
        <b/>
        <i val="0"/>
        <color auto="1"/>
      </font>
      <fill>
        <patternFill>
          <bgColor theme="9" tint="0.39994506668294322"/>
        </patternFill>
      </fill>
    </dxf>
    <dxf>
      <font>
        <b/>
        <i val="0"/>
        <color auto="1"/>
      </font>
      <fill>
        <patternFill>
          <bgColor rgb="FF00B050"/>
        </patternFill>
      </fill>
    </dxf>
    <dxf>
      <font>
        <b/>
        <i val="0"/>
        <color auto="1"/>
      </font>
      <fill>
        <patternFill>
          <bgColor rgb="FFFFFF00"/>
        </patternFill>
      </fill>
    </dxf>
    <dxf>
      <font>
        <b/>
        <i val="0"/>
        <color auto="1"/>
      </font>
      <fill>
        <patternFill>
          <bgColor theme="5"/>
        </patternFill>
      </fill>
    </dxf>
    <dxf>
      <font>
        <b/>
        <i val="0"/>
        <color auto="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560916</xdr:colOff>
      <xdr:row>0</xdr:row>
      <xdr:rowOff>101599</xdr:rowOff>
    </xdr:from>
    <xdr:to>
      <xdr:col>1</xdr:col>
      <xdr:colOff>1238250</xdr:colOff>
      <xdr:row>7</xdr:row>
      <xdr:rowOff>92038</xdr:rowOff>
    </xdr:to>
    <xdr:pic>
      <xdr:nvPicPr>
        <xdr:cNvPr id="2" name="Imagen 1">
          <a:extLst>
            <a:ext uri="{FF2B5EF4-FFF2-40B4-BE49-F238E27FC236}">
              <a16:creationId xmlns:a16="http://schemas.microsoft.com/office/drawing/2014/main" id="{1BF5B8BD-5FBC-469D-A094-A625C186B6A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916" y="101599"/>
          <a:ext cx="1439334" cy="1446743"/>
        </a:xfrm>
        <a:prstGeom prst="rect">
          <a:avLst/>
        </a:prstGeom>
        <a:noFill/>
        <a:ln>
          <a:noFill/>
        </a:ln>
      </xdr:spPr>
    </xdr:pic>
    <xdr:clientData/>
  </xdr:twoCellAnchor>
  <xdr:twoCellAnchor editAs="oneCell">
    <xdr:from>
      <xdr:col>0</xdr:col>
      <xdr:colOff>560916</xdr:colOff>
      <xdr:row>0</xdr:row>
      <xdr:rowOff>101599</xdr:rowOff>
    </xdr:from>
    <xdr:to>
      <xdr:col>1</xdr:col>
      <xdr:colOff>1238250</xdr:colOff>
      <xdr:row>7</xdr:row>
      <xdr:rowOff>20600</xdr:rowOff>
    </xdr:to>
    <xdr:pic>
      <xdr:nvPicPr>
        <xdr:cNvPr id="3" name="Imagen 2">
          <a:extLst>
            <a:ext uri="{FF2B5EF4-FFF2-40B4-BE49-F238E27FC236}">
              <a16:creationId xmlns:a16="http://schemas.microsoft.com/office/drawing/2014/main" id="{7C74F1B5-9709-47A8-AF10-BFF60DF64F1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916" y="101599"/>
          <a:ext cx="1439334" cy="1452526"/>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Willington Granados Herrera" id="{D3743440-D430-45A6-8A2B-DC29476B6E3E}" userId="S::willington.granados@idipron.gov.co::31b240b4-d49a-4bf7-b038-72480c7a6c42"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17" dT="2023-04-03T20:17:26.61" personId="{D3743440-D430-45A6-8A2B-DC29476B6E3E}" id="{7D11A6DD-DF2A-4FA7-B2B4-157F7FF6B7B1}">
    <text>Se toma como referencia el numero de solicitudes de recolección de residuos de agosto a diciembre 2022 a través del aplicativo ARANDA</text>
  </threadedComment>
  <threadedComment ref="G17" dT="2024-02-21T22:16:31.32" personId="{D3743440-D430-45A6-8A2B-DC29476B6E3E}" id="{B574F851-1EA7-4866-8AA9-EF44F8E1EE71}" parentId="{7D11A6DD-DF2A-4FA7-B2B4-157F7FF6B7B1}">
    <text xml:space="preserve">Para 2024 se toma como referencia el numero de solicitudes de recolección de residuos de 2023 a través del aplicativo ARANDA
</text>
  </threadedComment>
  <threadedComment ref="J17" dT="2024-02-21T15:19:59.11" personId="{D3743440-D430-45A6-8A2B-DC29476B6E3E}" id="{70B22DDB-DDC7-47AD-B1DE-92892F312300}">
    <text>Se toma como base lo establecido en el Art. 40 de la ley 1333 de 2009</text>
  </threadedComment>
  <threadedComment ref="G24" dT="2023-04-03T21:34:01.01" personId="{D3743440-D430-45A6-8A2B-DC29476B6E3E}" id="{332271FA-2FAF-45FA-8395-3D342172446C}">
    <text>Se toma como referencia las 11 unidades en donde existen comedores o donde se dictan talleres industriales como mantenimiento de motos, mantenimiento de vehículos, serigrafia, belleza, vitrales, mantenimiento de bicicletas, etc</text>
  </threadedComment>
  <threadedComment ref="G24" dT="2024-02-21T15:22:04.53" personId="{D3743440-D430-45A6-8A2B-DC29476B6E3E}" id="{705129BD-6899-4941-848F-A1E29296CA0C}" parentId="{332271FA-2FAF-45FA-8395-3D342172446C}">
    <text>Para 2024 se toma como base  9 upis que para esta vigencia se encuentran en operación</text>
  </threadedComment>
  <threadedComment ref="G27" dT="2024-02-21T15:23:45.80" personId="{D3743440-D430-45A6-8A2B-DC29476B6E3E}" id="{65F2478C-CC71-4CD5-AEBB-D8FCBCDFC767}">
    <text>Para 2024 se aumenta a 6 teniendo en cuenta las unidades rurales que se encuentran bajo responsabilidad del IDIPRON</text>
  </threadedComment>
  <threadedComment ref="G32" dT="2024-02-21T15:23:45.80" personId="{D3743440-D430-45A6-8A2B-DC29476B6E3E}" id="{6F32358D-4DDF-427D-ACD7-3F47A9F30F92}">
    <text>Para 2024 se toma en cuenta las 13 UPIS de la entidad ubicadas en el Distrito Capital y XX  vehículos propios de la entidad</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7DD74B-D3D9-46FB-9DAF-7C0A11A88DD8}">
  <dimension ref="A1:AT38"/>
  <sheetViews>
    <sheetView showGridLines="0" tabSelected="1" topLeftCell="AO17" zoomScale="70" zoomScaleNormal="70" zoomScaleSheetLayoutView="90" workbookViewId="0">
      <selection activeCell="AP17" sqref="AP17:AP23"/>
    </sheetView>
  </sheetViews>
  <sheetFormatPr defaultColWidth="11.42578125" defaultRowHeight="15.6"/>
  <cols>
    <col min="2" max="2" width="27.140625" customWidth="1"/>
    <col min="3" max="3" width="26" customWidth="1"/>
    <col min="4" max="4" width="19.140625" customWidth="1"/>
    <col min="5" max="5" width="25.42578125" customWidth="1"/>
    <col min="6" max="6" width="25.42578125" hidden="1" customWidth="1"/>
    <col min="7" max="8" width="20.140625" customWidth="1"/>
    <col min="9" max="9" width="9.42578125" customWidth="1"/>
    <col min="10" max="10" width="25.42578125" customWidth="1"/>
    <col min="11" max="11" width="32.85546875" hidden="1" customWidth="1"/>
    <col min="12" max="12" width="20.140625" style="1" customWidth="1"/>
    <col min="13" max="13" width="9.42578125" style="1" customWidth="1"/>
    <col min="14" max="14" width="26.85546875" style="1" customWidth="1"/>
    <col min="15" max="15" width="11.28515625" style="1" customWidth="1"/>
    <col min="16" max="16" width="1" style="1" customWidth="1"/>
    <col min="17" max="17" width="5.140625" style="1" customWidth="1"/>
    <col min="18" max="18" width="46.7109375" style="1" customWidth="1"/>
    <col min="19" max="19" width="15.85546875" style="1" customWidth="1"/>
    <col min="20" max="22" width="5.140625" style="1" customWidth="1"/>
    <col min="23" max="23" width="25.140625" style="1" customWidth="1"/>
    <col min="24" max="24" width="11.42578125" style="1"/>
    <col min="25" max="25" width="21.140625" style="1" customWidth="1"/>
    <col min="26" max="26" width="8.7109375" style="1" customWidth="1"/>
    <col min="27" max="27" width="7.28515625" style="1" customWidth="1"/>
    <col min="28" max="28" width="9.140625" style="1" customWidth="1"/>
    <col min="29" max="29" width="8" style="1" customWidth="1"/>
    <col min="30" max="31" width="7.28515625" style="1" customWidth="1"/>
    <col min="32" max="32" width="9.28515625" style="1" customWidth="1"/>
    <col min="33" max="33" width="8.5703125" style="4" customWidth="1"/>
    <col min="34" max="34" width="1" style="4" customWidth="1"/>
    <col min="35" max="35" width="26.85546875" style="4" customWidth="1"/>
    <col min="36" max="36" width="26.7109375" style="1" customWidth="1"/>
    <col min="37" max="37" width="20.85546875" style="1" customWidth="1"/>
    <col min="38" max="38" width="2.42578125" customWidth="1"/>
    <col min="39" max="39" width="11" customWidth="1"/>
    <col min="40" max="42" width="45" customWidth="1"/>
    <col min="43" max="43" width="23.7109375" customWidth="1"/>
    <col min="44" max="44" width="15.42578125" hidden="1" customWidth="1"/>
    <col min="45" max="45" width="43.7109375" customWidth="1"/>
    <col min="46" max="46" width="45" customWidth="1"/>
  </cols>
  <sheetData>
    <row r="1" spans="1:46" ht="15.75" customHeight="1">
      <c r="A1" s="183"/>
      <c r="B1" s="184"/>
      <c r="C1" s="189" t="s">
        <v>0</v>
      </c>
      <c r="D1" s="190"/>
      <c r="E1" s="190"/>
      <c r="F1" s="190"/>
      <c r="G1" s="190"/>
      <c r="H1" s="190"/>
      <c r="I1" s="190"/>
      <c r="J1" s="190"/>
      <c r="K1" s="190"/>
      <c r="L1" s="190"/>
      <c r="M1" s="190"/>
      <c r="N1" s="190"/>
      <c r="O1" s="190"/>
      <c r="P1" s="190"/>
      <c r="Q1" s="190"/>
      <c r="R1" s="190"/>
      <c r="S1" s="190"/>
      <c r="T1" s="190"/>
      <c r="U1" s="190"/>
      <c r="V1" s="190"/>
      <c r="W1" s="190"/>
      <c r="X1" s="190"/>
      <c r="Y1" s="190"/>
      <c r="Z1" s="190"/>
      <c r="AA1" s="190"/>
      <c r="AB1" s="190"/>
      <c r="AC1" s="190"/>
      <c r="AD1" s="190"/>
      <c r="AE1" s="190"/>
      <c r="AF1" s="190"/>
      <c r="AG1" s="190"/>
      <c r="AH1" s="190"/>
      <c r="AI1" s="190"/>
      <c r="AJ1" s="190"/>
      <c r="AK1" s="190"/>
      <c r="AL1" s="190"/>
      <c r="AM1" s="190"/>
      <c r="AN1" s="190"/>
      <c r="AO1" s="190"/>
      <c r="AP1" s="191"/>
      <c r="AQ1" s="183" t="s">
        <v>1</v>
      </c>
      <c r="AR1" s="184"/>
      <c r="AS1" s="268" t="s">
        <v>2</v>
      </c>
      <c r="AT1" s="269"/>
    </row>
    <row r="2" spans="1:46" ht="15.75" customHeight="1" thickBot="1">
      <c r="A2" s="185"/>
      <c r="B2" s="186"/>
      <c r="C2" s="192"/>
      <c r="D2" s="193"/>
      <c r="E2" s="193"/>
      <c r="F2" s="193"/>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O2" s="193"/>
      <c r="AP2" s="194"/>
      <c r="AQ2" s="187"/>
      <c r="AR2" s="188"/>
      <c r="AS2" s="270"/>
      <c r="AT2" s="271"/>
    </row>
    <row r="3" spans="1:46" ht="15.75" customHeight="1">
      <c r="A3" s="185"/>
      <c r="B3" s="186"/>
      <c r="C3" s="192"/>
      <c r="D3" s="193"/>
      <c r="E3" s="193"/>
      <c r="F3" s="193"/>
      <c r="G3" s="193"/>
      <c r="H3" s="193"/>
      <c r="I3" s="193"/>
      <c r="J3" s="193"/>
      <c r="K3" s="193"/>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4"/>
      <c r="AQ3" s="183" t="s">
        <v>3</v>
      </c>
      <c r="AR3" s="184"/>
      <c r="AS3" s="272" t="s">
        <v>4</v>
      </c>
      <c r="AT3" s="273"/>
    </row>
    <row r="4" spans="1:46" ht="16.5" customHeight="1" thickBot="1">
      <c r="A4" s="185"/>
      <c r="B4" s="186"/>
      <c r="C4" s="195"/>
      <c r="D4" s="196"/>
      <c r="E4" s="196"/>
      <c r="F4" s="196"/>
      <c r="G4" s="196"/>
      <c r="H4" s="196"/>
      <c r="I4" s="196"/>
      <c r="J4" s="196"/>
      <c r="K4" s="196"/>
      <c r="L4" s="196"/>
      <c r="M4" s="196"/>
      <c r="N4" s="196"/>
      <c r="O4" s="196"/>
      <c r="P4" s="196"/>
      <c r="Q4" s="196"/>
      <c r="R4" s="196"/>
      <c r="S4" s="196"/>
      <c r="T4" s="196"/>
      <c r="U4" s="196"/>
      <c r="V4" s="196"/>
      <c r="W4" s="196"/>
      <c r="X4" s="196"/>
      <c r="Y4" s="196"/>
      <c r="Z4" s="196"/>
      <c r="AA4" s="196"/>
      <c r="AB4" s="196"/>
      <c r="AC4" s="196"/>
      <c r="AD4" s="196"/>
      <c r="AE4" s="196"/>
      <c r="AF4" s="196"/>
      <c r="AG4" s="196"/>
      <c r="AH4" s="196"/>
      <c r="AI4" s="196"/>
      <c r="AJ4" s="196"/>
      <c r="AK4" s="196"/>
      <c r="AL4" s="196"/>
      <c r="AM4" s="196"/>
      <c r="AN4" s="196"/>
      <c r="AO4" s="196"/>
      <c r="AP4" s="197"/>
      <c r="AQ4" s="187"/>
      <c r="AR4" s="188"/>
      <c r="AS4" s="274"/>
      <c r="AT4" s="275"/>
    </row>
    <row r="5" spans="1:46" ht="20.45" customHeight="1">
      <c r="A5" s="185"/>
      <c r="B5" s="186"/>
      <c r="C5" s="192" t="s">
        <v>5</v>
      </c>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4"/>
      <c r="AQ5" s="183" t="s">
        <v>6</v>
      </c>
      <c r="AR5" s="184"/>
      <c r="AS5" s="183" t="s">
        <v>7</v>
      </c>
      <c r="AT5" s="184"/>
    </row>
    <row r="6" spans="1:46" ht="15" customHeight="1" thickBot="1">
      <c r="A6" s="185"/>
      <c r="B6" s="186"/>
      <c r="C6" s="192"/>
      <c r="D6" s="193"/>
      <c r="E6" s="193"/>
      <c r="F6" s="193"/>
      <c r="G6" s="193"/>
      <c r="H6" s="193"/>
      <c r="I6" s="193"/>
      <c r="J6" s="193"/>
      <c r="K6" s="193"/>
      <c r="L6" s="193"/>
      <c r="M6" s="193"/>
      <c r="N6" s="193"/>
      <c r="O6" s="193"/>
      <c r="P6" s="193"/>
      <c r="Q6" s="193"/>
      <c r="R6" s="193"/>
      <c r="S6" s="193"/>
      <c r="T6" s="193"/>
      <c r="U6" s="193"/>
      <c r="V6" s="193"/>
      <c r="W6" s="193"/>
      <c r="X6" s="193"/>
      <c r="Y6" s="193"/>
      <c r="Z6" s="193"/>
      <c r="AA6" s="193"/>
      <c r="AB6" s="193"/>
      <c r="AC6" s="193"/>
      <c r="AD6" s="193"/>
      <c r="AE6" s="193"/>
      <c r="AF6" s="193"/>
      <c r="AG6" s="193"/>
      <c r="AH6" s="193"/>
      <c r="AI6" s="193"/>
      <c r="AJ6" s="193"/>
      <c r="AK6" s="193"/>
      <c r="AL6" s="193"/>
      <c r="AM6" s="193"/>
      <c r="AN6" s="193"/>
      <c r="AO6" s="193"/>
      <c r="AP6" s="194"/>
      <c r="AQ6" s="187"/>
      <c r="AR6" s="188"/>
      <c r="AS6" s="187"/>
      <c r="AT6" s="188"/>
    </row>
    <row r="7" spans="1:46" ht="15.75" customHeight="1">
      <c r="A7" s="185"/>
      <c r="B7" s="186"/>
      <c r="C7" s="192"/>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4"/>
      <c r="AQ7" s="183" t="s">
        <v>8</v>
      </c>
      <c r="AR7" s="184"/>
      <c r="AS7" s="276">
        <v>44651</v>
      </c>
      <c r="AT7" s="269"/>
    </row>
    <row r="8" spans="1:46" ht="16.5" customHeight="1" thickBot="1">
      <c r="A8" s="187"/>
      <c r="B8" s="188"/>
      <c r="C8" s="195"/>
      <c r="D8" s="196"/>
      <c r="E8" s="196"/>
      <c r="F8" s="196"/>
      <c r="G8" s="196"/>
      <c r="H8" s="196"/>
      <c r="I8" s="196"/>
      <c r="J8" s="196"/>
      <c r="K8" s="196"/>
      <c r="L8" s="196"/>
      <c r="M8" s="196"/>
      <c r="N8" s="196"/>
      <c r="O8" s="196"/>
      <c r="P8" s="196"/>
      <c r="Q8" s="196"/>
      <c r="R8" s="196"/>
      <c r="S8" s="196"/>
      <c r="T8" s="196"/>
      <c r="U8" s="196"/>
      <c r="V8" s="196"/>
      <c r="W8" s="196"/>
      <c r="X8" s="196"/>
      <c r="Y8" s="196"/>
      <c r="Z8" s="196"/>
      <c r="AA8" s="196"/>
      <c r="AB8" s="196"/>
      <c r="AC8" s="196"/>
      <c r="AD8" s="196"/>
      <c r="AE8" s="196"/>
      <c r="AF8" s="196"/>
      <c r="AG8" s="196"/>
      <c r="AH8" s="196"/>
      <c r="AI8" s="196"/>
      <c r="AJ8" s="196"/>
      <c r="AK8" s="196"/>
      <c r="AL8" s="196"/>
      <c r="AM8" s="196"/>
      <c r="AN8" s="196"/>
      <c r="AO8" s="196"/>
      <c r="AP8" s="197"/>
      <c r="AQ8" s="187"/>
      <c r="AR8" s="188"/>
      <c r="AS8" s="270"/>
      <c r="AT8" s="271"/>
    </row>
    <row r="10" spans="1:46" ht="54" customHeight="1">
      <c r="A10" s="218" t="s">
        <v>9</v>
      </c>
      <c r="B10" s="218"/>
      <c r="C10" s="218"/>
      <c r="D10" s="219" t="s">
        <v>0</v>
      </c>
      <c r="E10" s="220"/>
      <c r="F10" s="220"/>
      <c r="G10" s="220"/>
      <c r="H10" s="220"/>
      <c r="I10" s="220"/>
      <c r="J10" s="220"/>
      <c r="K10" s="220"/>
      <c r="L10" s="220"/>
      <c r="M10" s="221"/>
      <c r="N10" s="29"/>
      <c r="AG10" s="1"/>
      <c r="AH10" s="1"/>
      <c r="AI10" s="1"/>
    </row>
    <row r="11" spans="1:46" s="3" customFormat="1" ht="75" customHeight="1">
      <c r="A11" s="218" t="s">
        <v>10</v>
      </c>
      <c r="B11" s="218"/>
      <c r="C11" s="218"/>
      <c r="D11" s="222" t="s">
        <v>11</v>
      </c>
      <c r="E11" s="223"/>
      <c r="F11" s="223"/>
      <c r="G11" s="223"/>
      <c r="H11" s="223"/>
      <c r="I11" s="223"/>
      <c r="J11" s="223"/>
      <c r="K11" s="223"/>
      <c r="L11" s="223"/>
      <c r="M11" s="224"/>
      <c r="N11" s="30"/>
      <c r="O11" s="2"/>
      <c r="P11" s="2"/>
      <c r="Q11" s="2"/>
      <c r="R11" s="2"/>
      <c r="S11" s="2"/>
      <c r="T11" s="2"/>
      <c r="U11" s="2"/>
      <c r="V11" s="2"/>
      <c r="W11" s="2"/>
      <c r="X11" s="2"/>
      <c r="Y11" s="2"/>
      <c r="Z11" s="2"/>
      <c r="AA11" s="2"/>
      <c r="AB11" s="2"/>
      <c r="AC11" s="2"/>
      <c r="AD11" s="2"/>
      <c r="AE11" s="2"/>
      <c r="AF11" s="2"/>
      <c r="AG11" s="2"/>
      <c r="AH11" s="2"/>
      <c r="AI11" s="2"/>
      <c r="AJ11" s="2"/>
      <c r="AK11" s="2"/>
    </row>
    <row r="12" spans="1:46" s="3" customFormat="1" ht="100.5" customHeight="1">
      <c r="A12" s="218" t="s">
        <v>12</v>
      </c>
      <c r="B12" s="218"/>
      <c r="C12" s="218"/>
      <c r="D12" s="222" t="s">
        <v>13</v>
      </c>
      <c r="E12" s="223"/>
      <c r="F12" s="223"/>
      <c r="G12" s="223"/>
      <c r="H12" s="223"/>
      <c r="I12" s="223"/>
      <c r="J12" s="223"/>
      <c r="K12" s="223"/>
      <c r="L12" s="223"/>
      <c r="M12" s="224"/>
      <c r="N12" s="30"/>
      <c r="O12" s="2"/>
      <c r="P12" s="2"/>
      <c r="Q12" s="2"/>
      <c r="R12" s="2"/>
      <c r="S12" s="2"/>
      <c r="T12" s="2"/>
      <c r="U12" s="2"/>
      <c r="V12" s="2"/>
      <c r="W12" s="2"/>
      <c r="X12" s="2"/>
      <c r="Y12" s="2"/>
      <c r="Z12" s="2"/>
      <c r="AA12" s="2"/>
      <c r="AB12" s="2"/>
      <c r="AC12" s="2"/>
      <c r="AD12" s="2"/>
      <c r="AE12" s="2"/>
      <c r="AF12" s="2"/>
      <c r="AG12" s="2"/>
      <c r="AH12" s="2"/>
      <c r="AI12" s="2"/>
      <c r="AJ12" s="2"/>
      <c r="AK12" s="2"/>
    </row>
    <row r="13" spans="1:46" s="3" customFormat="1" ht="24.75" customHeight="1" thickBot="1">
      <c r="A13" s="7"/>
      <c r="B13" s="7"/>
      <c r="C13" s="7"/>
      <c r="D13" s="7"/>
      <c r="E13" s="7"/>
      <c r="F13" s="7"/>
      <c r="G13" s="7"/>
      <c r="H13" s="7"/>
      <c r="I13" s="7"/>
      <c r="J13" s="7"/>
      <c r="K13" s="7"/>
      <c r="L13" s="7"/>
      <c r="M13" s="7"/>
      <c r="N13" s="7"/>
      <c r="O13" s="2"/>
      <c r="P13" s="2"/>
      <c r="Q13" s="2"/>
      <c r="R13" s="2"/>
      <c r="S13" s="2"/>
      <c r="T13" s="2"/>
      <c r="U13" s="2"/>
      <c r="V13" s="2"/>
      <c r="W13" s="2"/>
      <c r="X13" s="2"/>
      <c r="Y13" s="2"/>
      <c r="Z13" s="2"/>
      <c r="AA13" s="2"/>
      <c r="AB13" s="2"/>
      <c r="AC13" s="2"/>
      <c r="AD13" s="2"/>
      <c r="AE13" s="2"/>
      <c r="AF13" s="2"/>
      <c r="AG13" s="2"/>
      <c r="AH13" s="2"/>
      <c r="AI13" s="2"/>
      <c r="AJ13" s="2"/>
      <c r="AK13" s="2"/>
    </row>
    <row r="14" spans="1:46" s="3" customFormat="1" ht="24.75" customHeight="1">
      <c r="A14" s="231" t="s">
        <v>14</v>
      </c>
      <c r="B14" s="232"/>
      <c r="C14" s="232"/>
      <c r="D14" s="232"/>
      <c r="E14" s="232"/>
      <c r="F14" s="232"/>
      <c r="G14" s="232"/>
      <c r="H14" s="232"/>
      <c r="I14" s="232"/>
      <c r="J14" s="232"/>
      <c r="K14" s="232"/>
      <c r="L14" s="232"/>
      <c r="M14" s="232"/>
      <c r="N14" s="233"/>
      <c r="O14" s="234"/>
      <c r="P14" s="2"/>
      <c r="Q14" s="128" t="s">
        <v>15</v>
      </c>
      <c r="R14" s="129"/>
      <c r="S14" s="129"/>
      <c r="T14" s="130"/>
      <c r="U14" s="130"/>
      <c r="V14" s="130"/>
      <c r="W14" s="130"/>
      <c r="X14" s="130"/>
      <c r="Y14" s="130"/>
      <c r="Z14" s="129"/>
      <c r="AA14" s="129"/>
      <c r="AB14" s="129"/>
      <c r="AC14" s="129"/>
      <c r="AD14" s="129"/>
      <c r="AE14" s="129"/>
      <c r="AF14" s="129"/>
      <c r="AG14" s="131"/>
      <c r="AH14" s="2"/>
      <c r="AI14" s="198" t="s">
        <v>16</v>
      </c>
      <c r="AJ14" s="199"/>
      <c r="AK14" s="200"/>
      <c r="AM14" s="198" t="s">
        <v>17</v>
      </c>
      <c r="AN14" s="199"/>
      <c r="AO14" s="199"/>
      <c r="AP14" s="199"/>
      <c r="AQ14" s="199"/>
      <c r="AR14" s="42"/>
      <c r="AS14" s="198" t="s">
        <v>18</v>
      </c>
      <c r="AT14" s="200"/>
    </row>
    <row r="15" spans="1:46">
      <c r="A15" s="235"/>
      <c r="B15" s="236"/>
      <c r="C15" s="236"/>
      <c r="D15" s="236"/>
      <c r="E15" s="236"/>
      <c r="F15" s="236"/>
      <c r="G15" s="236"/>
      <c r="H15" s="236"/>
      <c r="I15" s="236"/>
      <c r="J15" s="236"/>
      <c r="K15" s="236"/>
      <c r="L15" s="236"/>
      <c r="M15" s="236"/>
      <c r="N15" s="237"/>
      <c r="O15" s="238"/>
      <c r="P15" s="2"/>
      <c r="Q15" s="31"/>
      <c r="R15" s="32"/>
      <c r="S15" s="32"/>
      <c r="T15" s="134" t="s">
        <v>19</v>
      </c>
      <c r="U15" s="134"/>
      <c r="V15" s="134"/>
      <c r="W15" s="134"/>
      <c r="X15" s="134"/>
      <c r="Y15" s="134"/>
      <c r="Z15" s="132"/>
      <c r="AA15" s="132"/>
      <c r="AB15" s="132"/>
      <c r="AC15" s="132"/>
      <c r="AD15" s="132"/>
      <c r="AE15" s="132"/>
      <c r="AF15" s="132"/>
      <c r="AG15" s="133"/>
      <c r="AH15" s="2"/>
      <c r="AI15" s="201"/>
      <c r="AJ15" s="202"/>
      <c r="AK15" s="203"/>
      <c r="AM15" s="201"/>
      <c r="AN15" s="202"/>
      <c r="AO15" s="202"/>
      <c r="AP15" s="202"/>
      <c r="AQ15" s="202"/>
      <c r="AR15" s="42"/>
      <c r="AS15" s="201"/>
      <c r="AT15" s="203"/>
    </row>
    <row r="16" spans="1:46" s="5" customFormat="1" ht="106.5" customHeight="1">
      <c r="A16" s="11" t="s">
        <v>20</v>
      </c>
      <c r="B16" s="12" t="s">
        <v>21</v>
      </c>
      <c r="C16" s="13" t="s">
        <v>22</v>
      </c>
      <c r="D16" s="13" t="s">
        <v>23</v>
      </c>
      <c r="E16" s="14" t="s">
        <v>24</v>
      </c>
      <c r="F16" s="24" t="s">
        <v>25</v>
      </c>
      <c r="G16" s="46" t="s">
        <v>26</v>
      </c>
      <c r="H16" s="14" t="s">
        <v>27</v>
      </c>
      <c r="I16" s="13" t="s">
        <v>28</v>
      </c>
      <c r="J16" s="13" t="s">
        <v>29</v>
      </c>
      <c r="K16" s="14" t="s">
        <v>30</v>
      </c>
      <c r="L16" s="14" t="s">
        <v>31</v>
      </c>
      <c r="M16" s="13" t="s">
        <v>28</v>
      </c>
      <c r="N16" s="13" t="s">
        <v>32</v>
      </c>
      <c r="O16" s="15" t="s">
        <v>33</v>
      </c>
      <c r="P16" s="2"/>
      <c r="Q16" s="16" t="s">
        <v>34</v>
      </c>
      <c r="R16" s="17" t="s">
        <v>35</v>
      </c>
      <c r="S16" s="34" t="s">
        <v>36</v>
      </c>
      <c r="T16" s="18" t="s">
        <v>37</v>
      </c>
      <c r="U16" s="18" t="s">
        <v>38</v>
      </c>
      <c r="V16" s="18" t="s">
        <v>39</v>
      </c>
      <c r="W16" s="18" t="s">
        <v>40</v>
      </c>
      <c r="X16" s="18" t="s">
        <v>41</v>
      </c>
      <c r="Y16" s="18" t="s">
        <v>42</v>
      </c>
      <c r="Z16" s="19" t="s">
        <v>43</v>
      </c>
      <c r="AA16" s="19" t="s">
        <v>44</v>
      </c>
      <c r="AB16" s="19" t="s">
        <v>28</v>
      </c>
      <c r="AC16" s="19" t="s">
        <v>45</v>
      </c>
      <c r="AD16" s="19" t="s">
        <v>28</v>
      </c>
      <c r="AE16" s="19" t="s">
        <v>32</v>
      </c>
      <c r="AF16" s="19" t="s">
        <v>46</v>
      </c>
      <c r="AG16" s="15" t="s">
        <v>47</v>
      </c>
      <c r="AH16" s="2"/>
      <c r="AI16" s="20" t="s">
        <v>48</v>
      </c>
      <c r="AJ16" s="17" t="s">
        <v>49</v>
      </c>
      <c r="AK16" s="41" t="s">
        <v>50</v>
      </c>
      <c r="AM16" s="44" t="s">
        <v>51</v>
      </c>
      <c r="AN16" s="44" t="s">
        <v>52</v>
      </c>
      <c r="AO16" s="44" t="s">
        <v>53</v>
      </c>
      <c r="AP16" s="44" t="s">
        <v>54</v>
      </c>
      <c r="AQ16" s="44" t="s">
        <v>55</v>
      </c>
      <c r="AR16" s="43"/>
      <c r="AS16" s="44" t="s">
        <v>56</v>
      </c>
      <c r="AT16" s="45" t="s">
        <v>57</v>
      </c>
    </row>
    <row r="17" spans="1:46" ht="223.5" customHeight="1">
      <c r="A17" s="148" t="s">
        <v>58</v>
      </c>
      <c r="B17" s="151" t="s">
        <v>59</v>
      </c>
      <c r="C17" s="154" t="s">
        <v>60</v>
      </c>
      <c r="D17" s="154" t="s">
        <v>61</v>
      </c>
      <c r="E17" s="154" t="s">
        <v>62</v>
      </c>
      <c r="F17" s="139"/>
      <c r="G17" s="239">
        <v>501</v>
      </c>
      <c r="H17" s="158" t="str">
        <f>IF(G17&lt;=0,"",IF(G17&lt;=2,"Muy Baja",IF(G17&lt;=24,"Baja",IF(G17&lt;=500,"Media",IF(G17&lt;=5000,"Alta","Muy Alta")))))</f>
        <v>Alta</v>
      </c>
      <c r="I17" s="135">
        <f>IF(H17="","",IF(H17="Muy Baja",0.2,IF(H17="Baja",0.4,IF(H17="Media",0.6,IF(H17="Alta",0.8,IF(H17="Muy Alta",1,))))))</f>
        <v>0.8</v>
      </c>
      <c r="J17" s="177" t="s">
        <v>63</v>
      </c>
      <c r="K17" s="180" t="str">
        <f>+J17</f>
        <v xml:space="preserve">Afectación Mayor a 3000 SMLMV </v>
      </c>
      <c r="L17" s="158" t="str">
        <f>+VLOOKUP(K17,Datos!$O$4:$P$15,2,FALSE)</f>
        <v>Catastrófico</v>
      </c>
      <c r="M17" s="135">
        <f>IF(L17="","",IF(L17="Leve",0.2,IF(L17="Menor",0.4,IF(L17="Moderado",0.6,IF(L17="Mayor",0.8,IF(L17="Catastrófico",1,))))))</f>
        <v>1</v>
      </c>
      <c r="N17" s="213" t="str">
        <f>+CONCATENATE(H17, " - ", L17)</f>
        <v>Alta - Catastrófico</v>
      </c>
      <c r="O17" s="245" t="str">
        <f>+VLOOKUP(N17,Datos!J4:K28,2,)</f>
        <v>EXTREMO</v>
      </c>
      <c r="P17" s="37"/>
      <c r="Q17" s="21">
        <v>1</v>
      </c>
      <c r="R17" s="33" t="s">
        <v>64</v>
      </c>
      <c r="S17" s="51" t="str">
        <f t="shared" ref="S17:S23" si="0">IF(OR(T17="Preventivo",T17="Detectivo"),"Probabilidad",IF(T17="Correctivo","Impacto",""))</f>
        <v>Probabilidad</v>
      </c>
      <c r="T17" s="38" t="s">
        <v>65</v>
      </c>
      <c r="U17" s="38" t="s">
        <v>66</v>
      </c>
      <c r="V17" s="55" t="str">
        <f t="shared" ref="V17:V26" si="1">IF(AND(T17="Preventivo",U17="Automático"),"50%",IF(AND(T17="Preventivo",U17="Manual"),"40%",IF(AND(T17="Detectivo",U17="Automático"),"40%",IF(AND(T17="Detectivo",U17="Manual"),"30%",IF(AND(T17="Correctivo",U17="Automático"),"35%",IF(AND(T17="Correctivo",U17="Manual"),"25%",""))))))</f>
        <v>30%</v>
      </c>
      <c r="W17" s="39" t="s">
        <v>67</v>
      </c>
      <c r="X17" s="99" t="s">
        <v>68</v>
      </c>
      <c r="Y17" s="39" t="s">
        <v>69</v>
      </c>
      <c r="Z17" s="59">
        <f>IFERROR(IF(S17="Probabilidad",(I17-(+I17*V17)),IF(S17="Impacto",I17,"")),"")</f>
        <v>0.56000000000000005</v>
      </c>
      <c r="AA17" s="60" t="str">
        <f t="shared" ref="AA17:AA26" si="2">IFERROR(IF(Z17="","",IF(Z17&lt;=0.2,"Muy Baja",IF(Z17&lt;=0.4,"Baja",IF(Z17&lt;=0.6,"Media",IF(Z17&lt;=0.8,"Alta","Muy Alta"))))),"")</f>
        <v>Media</v>
      </c>
      <c r="AB17" s="103">
        <f t="shared" ref="AB17:AB26" si="3">+Z17</f>
        <v>0.56000000000000005</v>
      </c>
      <c r="AC17" s="62" t="str">
        <f t="shared" ref="AC17:AC26" si="4">IFERROR(IF(AD17="","",IF(AD17&lt;=0.2,"Leve",IF(AD17&lt;=0.4,"Menor",IF(AD17&lt;=0.6,"Moderado",IF(AD17&lt;=0.8,"Mayor","Catastrófico"))))),"")</f>
        <v>Catastrófico</v>
      </c>
      <c r="AD17" s="59">
        <f>IFERROR(IF(S17="Impacto",(M17-(+M17*V17)),IF(S17="Probabilidad",M17,"")),"")</f>
        <v>1</v>
      </c>
      <c r="AE17" s="63" t="str">
        <f>+CONCATENATE(AA17, " - ", AC17)</f>
        <v>Media - Catastrófico</v>
      </c>
      <c r="AF17" s="79" t="str">
        <f>+VLOOKUP(AE17,Datos!$J$4:$K$28,2,)</f>
        <v>EXTREMO</v>
      </c>
      <c r="AG17" s="215" t="s">
        <v>70</v>
      </c>
      <c r="AH17" s="37"/>
      <c r="AI17" s="204" t="s">
        <v>71</v>
      </c>
      <c r="AJ17" s="207" t="s">
        <v>72</v>
      </c>
      <c r="AK17" s="210">
        <v>45534</v>
      </c>
      <c r="AM17" s="225">
        <v>45792</v>
      </c>
      <c r="AN17" s="227" t="s">
        <v>73</v>
      </c>
      <c r="AO17" s="286" t="s">
        <v>74</v>
      </c>
      <c r="AP17" s="265" t="s">
        <v>75</v>
      </c>
      <c r="AQ17" s="265"/>
      <c r="AR17" s="265"/>
      <c r="AS17" s="277" t="s">
        <v>76</v>
      </c>
      <c r="AT17" s="280" t="s">
        <v>77</v>
      </c>
    </row>
    <row r="18" spans="1:46" ht="176.25" customHeight="1">
      <c r="A18" s="292"/>
      <c r="B18" s="290"/>
      <c r="C18" s="229"/>
      <c r="D18" s="229"/>
      <c r="E18" s="229"/>
      <c r="F18" s="140"/>
      <c r="G18" s="240"/>
      <c r="H18" s="243"/>
      <c r="I18" s="136"/>
      <c r="J18" s="178"/>
      <c r="K18" s="181"/>
      <c r="L18" s="243"/>
      <c r="M18" s="136"/>
      <c r="N18" s="161"/>
      <c r="O18" s="246"/>
      <c r="P18" s="2"/>
      <c r="Q18" s="8">
        <v>2</v>
      </c>
      <c r="R18" s="100" t="s">
        <v>78</v>
      </c>
      <c r="S18" s="52" t="str">
        <f t="shared" si="0"/>
        <v>Probabilidad</v>
      </c>
      <c r="T18" s="6" t="s">
        <v>79</v>
      </c>
      <c r="U18" s="6" t="s">
        <v>66</v>
      </c>
      <c r="V18" s="56" t="str">
        <f t="shared" si="1"/>
        <v>40%</v>
      </c>
      <c r="W18" s="10" t="s">
        <v>80</v>
      </c>
      <c r="X18" s="10" t="s">
        <v>81</v>
      </c>
      <c r="Y18" s="10" t="s">
        <v>82</v>
      </c>
      <c r="Z18" s="64">
        <f>IFERROR(IF(AND(S17="Probabilidad",S18="Probabilidad"),(AB17-(+AB17*V18)),IF(S18="Probabilidad",(I17-(+I17*V18)),IF(S18="Impacto",AB17,""))),"")</f>
        <v>0.33600000000000002</v>
      </c>
      <c r="AA18" s="65" t="str">
        <f t="shared" si="2"/>
        <v>Baja</v>
      </c>
      <c r="AB18" s="104">
        <f t="shared" si="3"/>
        <v>0.33600000000000002</v>
      </c>
      <c r="AC18" s="67" t="str">
        <f t="shared" si="4"/>
        <v>Catastrófico</v>
      </c>
      <c r="AD18" s="64">
        <f>IFERROR(IF(AND(S17="Impacto",S17="Impacto"),(AD17-(+AD17*V18)),IF(S18="Impacto",(M17-(+M17*V18)),IF(S18="Probabilidad",AD17,""))),"")</f>
        <v>1</v>
      </c>
      <c r="AE18" s="68" t="str">
        <f t="shared" ref="AE18:AE19" si="5">+CONCATENATE(AA18, " - ", AC18)</f>
        <v>Baja - Catastrófico</v>
      </c>
      <c r="AF18" s="80" t="str">
        <f>+VLOOKUP(AE18,Datos!$J$4:$K$28,2,)</f>
        <v>EXTREMO</v>
      </c>
      <c r="AG18" s="216"/>
      <c r="AH18" s="2"/>
      <c r="AI18" s="205"/>
      <c r="AJ18" s="208"/>
      <c r="AK18" s="211"/>
      <c r="AM18" s="226"/>
      <c r="AN18" s="228"/>
      <c r="AO18" s="287"/>
      <c r="AP18" s="228"/>
      <c r="AQ18" s="266"/>
      <c r="AR18" s="266"/>
      <c r="AS18" s="278"/>
      <c r="AT18" s="281"/>
    </row>
    <row r="19" spans="1:46" ht="135" customHeight="1">
      <c r="A19" s="293"/>
      <c r="B19" s="291"/>
      <c r="C19" s="230"/>
      <c r="D19" s="230"/>
      <c r="E19" s="230"/>
      <c r="F19" s="141"/>
      <c r="G19" s="241"/>
      <c r="H19" s="244"/>
      <c r="I19" s="137"/>
      <c r="J19" s="178"/>
      <c r="K19" s="181"/>
      <c r="L19" s="244"/>
      <c r="M19" s="137"/>
      <c r="N19" s="161"/>
      <c r="O19" s="246"/>
      <c r="P19" s="2"/>
      <c r="Q19" s="47">
        <v>3</v>
      </c>
      <c r="R19" s="101" t="s">
        <v>83</v>
      </c>
      <c r="S19" s="52" t="str">
        <f t="shared" si="0"/>
        <v>Probabilidad</v>
      </c>
      <c r="T19" s="49" t="s">
        <v>79</v>
      </c>
      <c r="U19" s="49" t="s">
        <v>66</v>
      </c>
      <c r="V19" s="56" t="str">
        <f t="shared" si="1"/>
        <v>40%</v>
      </c>
      <c r="W19" s="50" t="s">
        <v>84</v>
      </c>
      <c r="X19" s="50" t="s">
        <v>85</v>
      </c>
      <c r="Y19" s="124" t="s">
        <v>86</v>
      </c>
      <c r="Z19" s="64">
        <f>IFERROR(IF(AND(S18="Probabilidad",S19="Probabilidad"),(AB18-(+AB18*V19)),IF(S19="Probabilidad",(I17-(+I17*V19)),IF(S19="Impacto",AB18,""))),"")</f>
        <v>0.2016</v>
      </c>
      <c r="AA19" s="65" t="str">
        <f t="shared" ref="AA19" si="6">IFERROR(IF(Z19="","",IF(Z19&lt;=0.2,"Muy Baja",IF(Z19&lt;=0.4,"Baja",IF(Z19&lt;=0.6,"Media",IF(Z19&lt;=0.8,"Alta","Muy Alta"))))),"")</f>
        <v>Baja</v>
      </c>
      <c r="AB19" s="104">
        <f t="shared" ref="AB19" si="7">+Z19</f>
        <v>0.2016</v>
      </c>
      <c r="AC19" s="72" t="str">
        <f t="shared" ref="AC19" si="8">IFERROR(IF(AD19="","",IF(AD19&lt;=0.2,"Leve",IF(AD19&lt;=0.4,"Menor",IF(AD19&lt;=0.6,"Moderado",IF(AD19&lt;=0.8,"Mayor","Catastrófico"))))),"")</f>
        <v>Catastrófico</v>
      </c>
      <c r="AD19" s="64">
        <f>IFERROR(IF(AND(S17="Impacto",S17="Impacto"),(AD17-(+AD17*V19)),IF(S19="Impacto",(M16-(+M16*V19)),IF(S19="Probabilidad",AD17,""))),"")</f>
        <v>1</v>
      </c>
      <c r="AE19" s="73" t="str">
        <f t="shared" si="5"/>
        <v>Baja - Catastrófico</v>
      </c>
      <c r="AF19" s="80" t="str">
        <f>+VLOOKUP(AE19,Datos!$J$4:$K$28,2,)</f>
        <v>EXTREMO</v>
      </c>
      <c r="AG19" s="166"/>
      <c r="AH19" s="2"/>
      <c r="AI19" s="205"/>
      <c r="AJ19" s="208"/>
      <c r="AK19" s="211"/>
      <c r="AM19" s="226"/>
      <c r="AN19" s="228"/>
      <c r="AO19" s="287"/>
      <c r="AP19" s="228"/>
      <c r="AQ19" s="266"/>
      <c r="AR19" s="266"/>
      <c r="AS19" s="278"/>
      <c r="AT19" s="281"/>
    </row>
    <row r="20" spans="1:46" ht="225" customHeight="1">
      <c r="A20" s="293"/>
      <c r="B20" s="291"/>
      <c r="C20" s="230"/>
      <c r="D20" s="230"/>
      <c r="E20" s="230"/>
      <c r="F20" s="141"/>
      <c r="G20" s="241"/>
      <c r="H20" s="244"/>
      <c r="I20" s="137"/>
      <c r="J20" s="178"/>
      <c r="K20" s="181"/>
      <c r="L20" s="244"/>
      <c r="M20" s="137"/>
      <c r="N20" s="161"/>
      <c r="O20" s="246"/>
      <c r="P20" s="2"/>
      <c r="Q20" s="47">
        <v>4</v>
      </c>
      <c r="R20" s="101" t="s">
        <v>87</v>
      </c>
      <c r="S20" s="52" t="str">
        <f t="shared" si="0"/>
        <v>Probabilidad</v>
      </c>
      <c r="T20" s="49" t="s">
        <v>79</v>
      </c>
      <c r="U20" s="49" t="s">
        <v>66</v>
      </c>
      <c r="V20" s="56" t="str">
        <f t="shared" ref="V20" si="9">IF(AND(T20="Preventivo",U20="Automático"),"50%",IF(AND(T20="Preventivo",U20="Manual"),"40%",IF(AND(T20="Detectivo",U20="Automático"),"40%",IF(AND(T20="Detectivo",U20="Manual"),"30%",IF(AND(T20="Correctivo",U20="Automático"),"35%",IF(AND(T20="Correctivo",U20="Manual"),"25%",""))))))</f>
        <v>40%</v>
      </c>
      <c r="W20" s="50" t="s">
        <v>88</v>
      </c>
      <c r="X20" s="50" t="s">
        <v>85</v>
      </c>
      <c r="Y20" s="50" t="s">
        <v>89</v>
      </c>
      <c r="Z20" s="64">
        <f>IFERROR(IF(AND(S19="Probabilidad",S20="Probabilidad"),(AB19-(+AB19*V20)),IF(S20="Probabilidad",(I18-(+I18*V20)),IF(S20="Impacto",AB19,""))),"")</f>
        <v>0.12096</v>
      </c>
      <c r="AA20" s="65" t="str">
        <f t="shared" ref="AA20" si="10">IFERROR(IF(Z20="","",IF(Z20&lt;=0.2,"Muy Baja",IF(Z20&lt;=0.4,"Baja",IF(Z20&lt;=0.6,"Media",IF(Z20&lt;=0.8,"Alta","Muy Alta"))))),"")</f>
        <v>Muy Baja</v>
      </c>
      <c r="AB20" s="104">
        <f t="shared" ref="AB20" si="11">+Z20</f>
        <v>0.12096</v>
      </c>
      <c r="AC20" s="72" t="str">
        <f t="shared" ref="AC20" si="12">IFERROR(IF(AD20="","",IF(AD20&lt;=0.2,"Leve",IF(AD20&lt;=0.4,"Menor",IF(AD20&lt;=0.6,"Moderado",IF(AD20&lt;=0.8,"Mayor","Catastrófico"))))),"")</f>
        <v>Catastrófico</v>
      </c>
      <c r="AD20" s="64">
        <f>IFERROR(IF(AND(S18="Impacto",S18="Impacto"),(AD18-(+AD18*V20)),IF(S20="Impacto",(M17-(+M17*V20)),IF(S20="Probabilidad",AD18,""))),"")</f>
        <v>1</v>
      </c>
      <c r="AE20" s="73" t="str">
        <f t="shared" ref="AE20" si="13">+CONCATENATE(AA20, " - ", AC20)</f>
        <v>Muy Baja - Catastrófico</v>
      </c>
      <c r="AF20" s="80" t="str">
        <f>+VLOOKUP(AE20,Datos!$J$4:$K$28,2,)</f>
        <v>EXTREMO</v>
      </c>
      <c r="AG20" s="166"/>
      <c r="AH20" s="2"/>
      <c r="AI20" s="205"/>
      <c r="AJ20" s="208"/>
      <c r="AK20" s="211"/>
      <c r="AM20" s="226"/>
      <c r="AN20" s="228"/>
      <c r="AO20" s="287"/>
      <c r="AP20" s="228"/>
      <c r="AQ20" s="266"/>
      <c r="AR20" s="266"/>
      <c r="AS20" s="278"/>
      <c r="AT20" s="281"/>
    </row>
    <row r="21" spans="1:46" ht="196.5" customHeight="1">
      <c r="A21" s="293"/>
      <c r="B21" s="291"/>
      <c r="C21" s="230"/>
      <c r="D21" s="230"/>
      <c r="E21" s="230"/>
      <c r="F21" s="141"/>
      <c r="G21" s="241"/>
      <c r="H21" s="244"/>
      <c r="I21" s="137"/>
      <c r="J21" s="178"/>
      <c r="K21" s="181"/>
      <c r="L21" s="244"/>
      <c r="M21" s="137"/>
      <c r="N21" s="161"/>
      <c r="O21" s="246"/>
      <c r="P21" s="2"/>
      <c r="Q21" s="47">
        <v>5</v>
      </c>
      <c r="R21" s="48" t="s">
        <v>90</v>
      </c>
      <c r="S21" s="52" t="str">
        <f t="shared" si="0"/>
        <v>Impacto</v>
      </c>
      <c r="T21" s="49" t="s">
        <v>91</v>
      </c>
      <c r="U21" s="49" t="s">
        <v>66</v>
      </c>
      <c r="V21" s="56" t="str">
        <f t="shared" si="1"/>
        <v>25%</v>
      </c>
      <c r="W21" s="50" t="s">
        <v>92</v>
      </c>
      <c r="X21" s="50" t="s">
        <v>93</v>
      </c>
      <c r="Y21" s="50" t="s">
        <v>94</v>
      </c>
      <c r="Z21" s="64">
        <f>IFERROR(IF(AND(S20="Probabilidad",S21="Probabilidad"),(AB20-(+AB20*V21)),IF(S21="Probabilidad",(I17-(+I17*V21)),IF(S21="Impacto",AB20,""))),"")</f>
        <v>0.12096</v>
      </c>
      <c r="AA21" s="97" t="str">
        <f t="shared" si="2"/>
        <v>Muy Baja</v>
      </c>
      <c r="AB21" s="104">
        <f t="shared" si="3"/>
        <v>0.12096</v>
      </c>
      <c r="AC21" s="72" t="str">
        <f t="shared" si="4"/>
        <v>Mayor</v>
      </c>
      <c r="AD21" s="64">
        <f>IFERROR(IF(AND(S20="Impacto",S20="Impacto"),(AD20-(+AD20*V21)),IF(S21="Impacto",(M17-(+M17*V21)),IF(S21="Probabilidad",AD20,""))),"")</f>
        <v>0.75</v>
      </c>
      <c r="AE21" s="73" t="str">
        <f t="shared" ref="AE21:AE23" si="14">+CONCATENATE(AA21, " - ", AC21)</f>
        <v>Muy Baja - Mayor</v>
      </c>
      <c r="AF21" s="80" t="str">
        <f>+VLOOKUP(AE21,Datos!$J$4:$K$28,2,)</f>
        <v>ALTO</v>
      </c>
      <c r="AG21" s="166"/>
      <c r="AH21" s="2"/>
      <c r="AI21" s="205"/>
      <c r="AJ21" s="208"/>
      <c r="AK21" s="211"/>
      <c r="AM21" s="226"/>
      <c r="AN21" s="228"/>
      <c r="AO21" s="287"/>
      <c r="AP21" s="228"/>
      <c r="AQ21" s="266"/>
      <c r="AR21" s="266"/>
      <c r="AS21" s="278"/>
      <c r="AT21" s="281"/>
    </row>
    <row r="22" spans="1:46" ht="228.75" customHeight="1">
      <c r="A22" s="293"/>
      <c r="B22" s="291"/>
      <c r="C22" s="230"/>
      <c r="D22" s="230"/>
      <c r="E22" s="230"/>
      <c r="F22" s="141"/>
      <c r="G22" s="241"/>
      <c r="H22" s="244"/>
      <c r="I22" s="137"/>
      <c r="J22" s="178"/>
      <c r="K22" s="181"/>
      <c r="L22" s="244"/>
      <c r="M22" s="137"/>
      <c r="N22" s="161"/>
      <c r="O22" s="246"/>
      <c r="P22" s="2"/>
      <c r="Q22" s="9">
        <v>6</v>
      </c>
      <c r="R22" s="48" t="s">
        <v>95</v>
      </c>
      <c r="S22" s="86" t="str">
        <f t="shared" ref="S22" si="15">IF(OR(T22="Preventivo",T22="Detectivo"),"Probabilidad",IF(T22="Correctivo","Impacto",""))</f>
        <v>Impacto</v>
      </c>
      <c r="T22" s="49" t="s">
        <v>91</v>
      </c>
      <c r="U22" s="49" t="s">
        <v>66</v>
      </c>
      <c r="V22" s="87" t="str">
        <f t="shared" ref="V22" si="16">IF(AND(T22="Preventivo",U22="Automático"),"50%",IF(AND(T22="Preventivo",U22="Manual"),"40%",IF(AND(T22="Detectivo",U22="Automático"),"40%",IF(AND(T22="Detectivo",U22="Manual"),"30%",IF(AND(T22="Correctivo",U22="Automático"),"35%",IF(AND(T22="Correctivo",U22="Manual"),"25%",""))))))</f>
        <v>25%</v>
      </c>
      <c r="W22" s="50" t="s">
        <v>80</v>
      </c>
      <c r="X22" s="50" t="s">
        <v>96</v>
      </c>
      <c r="Y22" s="102" t="s">
        <v>97</v>
      </c>
      <c r="Z22" s="96">
        <f>IFERROR(IF(AND(S21="Probabilidad",S22="Probabilidad"),(AB21-(+AB21*V22)),IF(S22="Probabilidad",(I16-(+I16*V22)),IF(S22="Impacto",AB21,""))),"")</f>
        <v>0.12096</v>
      </c>
      <c r="AA22" s="97" t="str">
        <f t="shared" ref="AA22" si="17">IFERROR(IF(Z22="","",IF(Z22&lt;=0.2,"Muy Baja",IF(Z22&lt;=0.4,"Baja",IF(Z22&lt;=0.6,"Media",IF(Z22&lt;=0.8,"Alta","Muy Alta"))))),"")</f>
        <v>Muy Baja</v>
      </c>
      <c r="AB22" s="105">
        <f t="shared" ref="AB22" si="18">+Z22</f>
        <v>0.12096</v>
      </c>
      <c r="AC22" s="89" t="str">
        <f t="shared" ref="AC22" si="19">IFERROR(IF(AD22="","",IF(AD22&lt;=0.2,"Leve",IF(AD22&lt;=0.4,"Menor",IF(AD22&lt;=0.6,"Moderado",IF(AD22&lt;=0.8,"Mayor","Catastrófico"))))),"")</f>
        <v>Moderado</v>
      </c>
      <c r="AD22" s="88">
        <f>IFERROR(IF(AND(S21="Impacto",S21="Impacto"),(AD21-(+AD21*V22)),IF(S22="Impacto",(M17-(+M17*V22)),IF(S22="Probabilidad",AD21,""))),"")</f>
        <v>0.5625</v>
      </c>
      <c r="AE22" s="83" t="str">
        <f t="shared" ref="AE22" si="20">+CONCATENATE(AA22, " - ", AC22)</f>
        <v>Muy Baja - Moderado</v>
      </c>
      <c r="AF22" s="90" t="str">
        <f>+VLOOKUP(AE22,Datos!$J$4:$K$28,2,)</f>
        <v>MODERADO</v>
      </c>
      <c r="AG22" s="166"/>
      <c r="AH22" s="2"/>
      <c r="AI22" s="205"/>
      <c r="AJ22" s="208"/>
      <c r="AK22" s="211"/>
      <c r="AM22" s="226"/>
      <c r="AN22" s="228"/>
      <c r="AO22" s="287"/>
      <c r="AP22" s="228"/>
      <c r="AQ22" s="266"/>
      <c r="AR22" s="266"/>
      <c r="AS22" s="278"/>
      <c r="AT22" s="281"/>
    </row>
    <row r="23" spans="1:46" ht="252.75" customHeight="1">
      <c r="A23" s="150"/>
      <c r="B23" s="153"/>
      <c r="C23" s="156"/>
      <c r="D23" s="156"/>
      <c r="E23" s="156"/>
      <c r="F23" s="142"/>
      <c r="G23" s="242"/>
      <c r="H23" s="160"/>
      <c r="I23" s="138"/>
      <c r="J23" s="179"/>
      <c r="K23" s="182"/>
      <c r="L23" s="160"/>
      <c r="M23" s="138"/>
      <c r="N23" s="214"/>
      <c r="O23" s="247"/>
      <c r="P23" s="40"/>
      <c r="Q23" s="9">
        <v>7</v>
      </c>
      <c r="R23" s="101" t="s">
        <v>98</v>
      </c>
      <c r="S23" s="86" t="str">
        <f t="shared" si="0"/>
        <v>Impacto</v>
      </c>
      <c r="T23" s="49" t="s">
        <v>91</v>
      </c>
      <c r="U23" s="49" t="s">
        <v>66</v>
      </c>
      <c r="V23" s="87" t="str">
        <f t="shared" si="1"/>
        <v>25%</v>
      </c>
      <c r="W23" s="109" t="s">
        <v>99</v>
      </c>
      <c r="X23" s="50" t="s">
        <v>100</v>
      </c>
      <c r="Y23" s="102" t="s">
        <v>101</v>
      </c>
      <c r="Z23" s="96">
        <f>IFERROR(IF(AND(S21="Probabilidad",S23="Probabilidad"),(AB21-(+AB21*V23)),IF(S23="Probabilidad",(I17-(+I17*V23)),IF(S23="Impacto",AB21,""))),"")</f>
        <v>0.12096</v>
      </c>
      <c r="AA23" s="97" t="str">
        <f t="shared" si="2"/>
        <v>Muy Baja</v>
      </c>
      <c r="AB23" s="105">
        <f t="shared" si="3"/>
        <v>0.12096</v>
      </c>
      <c r="AC23" s="89" t="str">
        <f t="shared" si="4"/>
        <v>Moderado</v>
      </c>
      <c r="AD23" s="88">
        <f>IFERROR(IF(AND(S22="Impacto",S22="Impacto"),(AD22-(+AD22*V23)),IF(S23="Impacto",(M18-(+M18*V23)),IF(S23="Probabilidad",AD22,""))),"")</f>
        <v>0.421875</v>
      </c>
      <c r="AE23" s="83" t="str">
        <f t="shared" si="14"/>
        <v>Muy Baja - Moderado</v>
      </c>
      <c r="AF23" s="90" t="str">
        <f>+VLOOKUP(AE23,Datos!$J$4:$K$28,2,)</f>
        <v>MODERADO</v>
      </c>
      <c r="AG23" s="217"/>
      <c r="AH23" s="40"/>
      <c r="AI23" s="206"/>
      <c r="AJ23" s="209"/>
      <c r="AK23" s="212"/>
      <c r="AM23" s="226"/>
      <c r="AN23" s="228"/>
      <c r="AO23" s="287"/>
      <c r="AP23" s="228"/>
      <c r="AQ23" s="266"/>
      <c r="AR23" s="266"/>
      <c r="AS23" s="279"/>
      <c r="AT23" s="282"/>
    </row>
    <row r="24" spans="1:46" ht="189.75" customHeight="1">
      <c r="A24" s="294">
        <v>2</v>
      </c>
      <c r="B24" s="295" t="s">
        <v>59</v>
      </c>
      <c r="C24" s="154" t="s">
        <v>60</v>
      </c>
      <c r="D24" s="154" t="s">
        <v>102</v>
      </c>
      <c r="E24" s="296" t="s">
        <v>103</v>
      </c>
      <c r="F24" s="297"/>
      <c r="G24" s="298">
        <v>9</v>
      </c>
      <c r="H24" s="253" t="str">
        <f>IF(G24&lt;=0,"",IF(G24&lt;=2,"Muy Baja",IF(G24&lt;=24,"Baja",IF(G24&lt;=500,"Media",IF(G24&lt;=5000,"Alta","Muy Alta")))))</f>
        <v>Baja</v>
      </c>
      <c r="I24" s="254">
        <f>IF(H24="","",IF(H24="Muy Baja",0.2,IF(H24="Baja",0.4,IF(H24="Media",0.6,IF(H24="Alta",0.8,IF(H24="Muy Alta",1,))))))</f>
        <v>0.4</v>
      </c>
      <c r="J24" s="178" t="s">
        <v>63</v>
      </c>
      <c r="K24" s="181" t="str">
        <f>+J24</f>
        <v xml:space="preserve">Afectación Mayor a 3000 SMLMV </v>
      </c>
      <c r="L24" s="253" t="str">
        <f>+VLOOKUP(K24,Datos!$O$4:$P$15,2,FALSE)</f>
        <v>Catastrófico</v>
      </c>
      <c r="M24" s="254">
        <f>IF(L24="","",IF(L24="Leve",0.2,IF(L24="Menor",0.4,IF(L24="Moderado",0.6,IF(L24="Mayor",0.8,IF(L24="Catastrófico",1,))))))</f>
        <v>1</v>
      </c>
      <c r="N24" s="161" t="str">
        <f>+CONCATENATE(H24, " - ", L24)</f>
        <v>Baja - Catastrófico</v>
      </c>
      <c r="O24" s="246" t="str">
        <f>+VLOOKUP(N24,Datos!J10:K34,2,)</f>
        <v>EXTREMO</v>
      </c>
      <c r="P24" s="2"/>
      <c r="Q24" s="84">
        <v>1</v>
      </c>
      <c r="R24" s="91" t="s">
        <v>104</v>
      </c>
      <c r="S24" s="51" t="str">
        <f t="shared" ref="S24:S26" si="21">IF(OR(T24="Preventivo",T24="Detectivo"),"Probabilidad",IF(T24="Correctivo","Impacto",""))</f>
        <v>Probabilidad</v>
      </c>
      <c r="T24" s="38" t="s">
        <v>79</v>
      </c>
      <c r="U24" s="38" t="s">
        <v>66</v>
      </c>
      <c r="V24" s="55" t="str">
        <f t="shared" si="1"/>
        <v>40%</v>
      </c>
      <c r="W24" s="39" t="s">
        <v>105</v>
      </c>
      <c r="X24" s="39" t="s">
        <v>106</v>
      </c>
      <c r="Y24" s="99" t="s">
        <v>107</v>
      </c>
      <c r="Z24" s="59">
        <f>IFERROR(IF(S24="Probabilidad",(I24-(+I24*V24)),IF(S24="Impacto",I24,"")),"")</f>
        <v>0.24</v>
      </c>
      <c r="AA24" s="60" t="str">
        <f t="shared" si="2"/>
        <v>Baja</v>
      </c>
      <c r="AB24" s="61">
        <f t="shared" si="3"/>
        <v>0.24</v>
      </c>
      <c r="AC24" s="62" t="str">
        <f t="shared" si="4"/>
        <v>Catastrófico</v>
      </c>
      <c r="AD24" s="59">
        <f>IFERROR(IF(S24="Impacto",(M24-(+M24*V24)),IF(S24="Probabilidad",M24,"")),"")</f>
        <v>1</v>
      </c>
      <c r="AE24" s="63" t="str">
        <f>+CONCATENATE(AA24, " - ", AC24)</f>
        <v>Baja - Catastrófico</v>
      </c>
      <c r="AF24" s="92" t="str">
        <f>+VLOOKUP(AE24,Datos!$J$4:$K$28,2,)</f>
        <v>EXTREMO</v>
      </c>
      <c r="AG24" s="250" t="s">
        <v>108</v>
      </c>
      <c r="AH24" s="2"/>
      <c r="AI24" s="204" t="s">
        <v>109</v>
      </c>
      <c r="AJ24" s="207" t="s">
        <v>72</v>
      </c>
      <c r="AK24" s="210">
        <v>45656</v>
      </c>
      <c r="AM24" s="288">
        <v>45792</v>
      </c>
      <c r="AN24" s="289" t="s">
        <v>110</v>
      </c>
      <c r="AO24" s="267" t="s">
        <v>74</v>
      </c>
      <c r="AP24" s="143" t="s">
        <v>75</v>
      </c>
      <c r="AQ24" s="143"/>
      <c r="AR24" s="143"/>
      <c r="AS24" s="146" t="s">
        <v>111</v>
      </c>
      <c r="AT24" s="283" t="s">
        <v>112</v>
      </c>
    </row>
    <row r="25" spans="1:46" ht="192.75" customHeight="1">
      <c r="A25" s="292"/>
      <c r="B25" s="290"/>
      <c r="C25" s="229"/>
      <c r="D25" s="229"/>
      <c r="E25" s="229"/>
      <c r="F25" s="140"/>
      <c r="G25" s="299"/>
      <c r="H25" s="243"/>
      <c r="I25" s="136"/>
      <c r="J25" s="178"/>
      <c r="K25" s="181"/>
      <c r="L25" s="243"/>
      <c r="M25" s="136"/>
      <c r="N25" s="161"/>
      <c r="O25" s="246"/>
      <c r="P25" s="2"/>
      <c r="Q25" s="85">
        <v>2</v>
      </c>
      <c r="R25" s="93" t="s">
        <v>113</v>
      </c>
      <c r="S25" s="52" t="str">
        <f t="shared" si="21"/>
        <v>Probabilidad</v>
      </c>
      <c r="T25" s="6" t="s">
        <v>65</v>
      </c>
      <c r="U25" s="6" t="s">
        <v>66</v>
      </c>
      <c r="V25" s="56" t="str">
        <f t="shared" si="1"/>
        <v>30%</v>
      </c>
      <c r="W25" s="10" t="s">
        <v>114</v>
      </c>
      <c r="X25" s="10" t="s">
        <v>115</v>
      </c>
      <c r="Y25" s="10" t="s">
        <v>116</v>
      </c>
      <c r="Z25" s="64">
        <f>IFERROR(IF(AND(S24="Probabilidad",S25="Probabilidad"),(AB24-(+AB24*V25)),IF(S25="Probabilidad",(I24-(+I24*V25)),IF(S25="Impacto",AB24,""))),"")</f>
        <v>0.16799999999999998</v>
      </c>
      <c r="AA25" s="97" t="str">
        <f t="shared" si="2"/>
        <v>Muy Baja</v>
      </c>
      <c r="AB25" s="66">
        <f t="shared" si="3"/>
        <v>0.16799999999999998</v>
      </c>
      <c r="AC25" s="67" t="str">
        <f t="shared" si="4"/>
        <v>Catastrófico</v>
      </c>
      <c r="AD25" s="64">
        <f>IFERROR(IF(AND(S24="Impacto",S24="Impacto"),(AD24-(+AD24*V25)),IF(S25="Impacto",(M24-(+M24*V25)),IF(S25="Probabilidad",AD24,""))),"")</f>
        <v>1</v>
      </c>
      <c r="AE25" s="68" t="str">
        <f t="shared" ref="AE25:AE26" si="22">+CONCATENATE(AA25, " - ", AC25)</f>
        <v>Muy Baja - Catastrófico</v>
      </c>
      <c r="AF25" s="94" t="str">
        <f>+VLOOKUP(AE25,Datos!$J$4:$K$28,2,)</f>
        <v>EXTREMO</v>
      </c>
      <c r="AG25" s="251"/>
      <c r="AH25" s="2"/>
      <c r="AI25" s="205"/>
      <c r="AJ25" s="208"/>
      <c r="AK25" s="211"/>
      <c r="AM25" s="175"/>
      <c r="AN25" s="168"/>
      <c r="AO25" s="171"/>
      <c r="AP25" s="144"/>
      <c r="AQ25" s="144"/>
      <c r="AR25" s="144"/>
      <c r="AS25" s="147"/>
      <c r="AT25" s="284"/>
    </row>
    <row r="26" spans="1:46" ht="211.5" customHeight="1">
      <c r="A26" s="292"/>
      <c r="B26" s="290"/>
      <c r="C26" s="230"/>
      <c r="D26" s="230"/>
      <c r="E26" s="229"/>
      <c r="F26" s="140"/>
      <c r="G26" s="299"/>
      <c r="H26" s="243"/>
      <c r="I26" s="136"/>
      <c r="J26" s="178"/>
      <c r="K26" s="181"/>
      <c r="L26" s="243"/>
      <c r="M26" s="136"/>
      <c r="N26" s="161"/>
      <c r="O26" s="246"/>
      <c r="P26" s="2"/>
      <c r="Q26" s="85">
        <v>3</v>
      </c>
      <c r="R26" s="110" t="s">
        <v>117</v>
      </c>
      <c r="S26" s="53" t="str">
        <f t="shared" si="21"/>
        <v>Impacto</v>
      </c>
      <c r="T26" s="22" t="s">
        <v>91</v>
      </c>
      <c r="U26" s="22" t="s">
        <v>66</v>
      </c>
      <c r="V26" s="57" t="str">
        <f t="shared" si="1"/>
        <v>25%</v>
      </c>
      <c r="W26" s="23" t="s">
        <v>114</v>
      </c>
      <c r="X26" s="23" t="s">
        <v>118</v>
      </c>
      <c r="Y26" s="23" t="s">
        <v>119</v>
      </c>
      <c r="Z26" s="69">
        <f>IFERROR(IF(AND(S25="Probabilidad",S26="Probabilidad"),(AB25-(+AB25*V26)),IF(S26="Probabilidad",(I24-(+I24*V26)),IF(S26="Impacto",AB25,""))),"")</f>
        <v>0.16799999999999998</v>
      </c>
      <c r="AA26" s="70" t="str">
        <f t="shared" si="2"/>
        <v>Muy Baja</v>
      </c>
      <c r="AB26" s="71">
        <f t="shared" si="3"/>
        <v>0.16799999999999998</v>
      </c>
      <c r="AC26" s="72" t="str">
        <f t="shared" si="4"/>
        <v>Mayor</v>
      </c>
      <c r="AD26" s="69">
        <f>IFERROR(IF(AND(S25="Impacto",S25="Impacto"),(AD25-(+AD25*V26)),IF(S26="Impacto",(M24-(+M24*V26)),IF(S26="Probabilidad",AD25,""))),"")</f>
        <v>0.75</v>
      </c>
      <c r="AE26" s="73" t="str">
        <f t="shared" si="22"/>
        <v>Muy Baja - Mayor</v>
      </c>
      <c r="AF26" s="95" t="str">
        <f>+VLOOKUP(AE26,Datos!$J$4:$K$28,2,)</f>
        <v>ALTO</v>
      </c>
      <c r="AG26" s="252"/>
      <c r="AH26" s="2"/>
      <c r="AI26" s="205"/>
      <c r="AJ26" s="208"/>
      <c r="AK26" s="211"/>
      <c r="AM26" s="176"/>
      <c r="AN26" s="169"/>
      <c r="AO26" s="172"/>
      <c r="AP26" s="145"/>
      <c r="AQ26" s="145"/>
      <c r="AR26" s="145"/>
      <c r="AS26" s="147"/>
      <c r="AT26" s="285"/>
    </row>
    <row r="27" spans="1:46" ht="255" customHeight="1">
      <c r="A27" s="148">
        <v>3</v>
      </c>
      <c r="B27" s="151" t="s">
        <v>59</v>
      </c>
      <c r="C27" s="154" t="s">
        <v>60</v>
      </c>
      <c r="D27" s="154" t="s">
        <v>120</v>
      </c>
      <c r="E27" s="154" t="s">
        <v>121</v>
      </c>
      <c r="F27" s="139"/>
      <c r="G27" s="151">
        <v>6</v>
      </c>
      <c r="H27" s="158" t="str">
        <f>IF(G27&lt;=0,"",IF(G27&lt;=2,"Muy Baja",IF(G27&lt;=24,"Baja",IF(G27&lt;=500,"Media",IF(G27&lt;=5000,"Alta","Muy Alta")))))</f>
        <v>Baja</v>
      </c>
      <c r="I27" s="135">
        <f>IF(H27="","",IF(H27="Muy Baja",0.2,IF(H27="Baja",0.4,IF(H27="Media",0.6,IF(H27="Alta",0.8,IF(H27="Muy Alta",1,))))))</f>
        <v>0.4</v>
      </c>
      <c r="J27" s="177" t="s">
        <v>63</v>
      </c>
      <c r="K27" s="180" t="str">
        <f>+J27</f>
        <v xml:space="preserve">Afectación Mayor a 3000 SMLMV </v>
      </c>
      <c r="L27" s="158" t="str">
        <f>+VLOOKUP(K27,Datos!$O$4:$P$15,2,FALSE)</f>
        <v>Catastrófico</v>
      </c>
      <c r="M27" s="135">
        <f>IF(L27="","",IF(L27="Leve",0.2,IF(L27="Menor",0.4,IF(L27="Moderado",0.6,IF(L27="Mayor",0.8,IF(L27="Catastrófico",1,))))))</f>
        <v>1</v>
      </c>
      <c r="N27" s="213" t="str">
        <f>+CONCATENATE(H27, " - ", L27)</f>
        <v>Baja - Catastrófico</v>
      </c>
      <c r="O27" s="245" t="str">
        <f>+VLOOKUP(N27,Datos!J4:K28,2,FALSE)</f>
        <v>EXTREMO</v>
      </c>
      <c r="P27" s="2"/>
      <c r="Q27" s="21">
        <v>1</v>
      </c>
      <c r="R27" s="125" t="s">
        <v>122</v>
      </c>
      <c r="S27" s="54" t="str">
        <f t="shared" ref="S27:S29" si="23">IF(OR(T27="Preventivo",T27="Detectivo"),"Probabilidad",IF(T27="Correctivo","Impacto",""))</f>
        <v>Probabilidad</v>
      </c>
      <c r="T27" s="35" t="s">
        <v>79</v>
      </c>
      <c r="U27" s="35" t="s">
        <v>66</v>
      </c>
      <c r="V27" s="58" t="str">
        <f t="shared" ref="V27:V29" si="24">IF(AND(T27="Preventivo",U27="Automático"),"50%",IF(AND(T27="Preventivo",U27="Manual"),"40%",IF(AND(T27="Detectivo",U27="Automático"),"40%",IF(AND(T27="Detectivo",U27="Manual"),"30%",IF(AND(T27="Correctivo",U27="Automático"),"35%",IF(AND(T27="Correctivo",U27="Manual"),"25%",""))))))</f>
        <v>40%</v>
      </c>
      <c r="W27" s="36" t="s">
        <v>123</v>
      </c>
      <c r="X27" s="36" t="s">
        <v>124</v>
      </c>
      <c r="Y27" s="36" t="s">
        <v>125</v>
      </c>
      <c r="Z27" s="74">
        <f>IFERROR(IF(S27="Probabilidad",(I27-(+I27*V27)),IF(S27="Impacto",I27,"")),"")</f>
        <v>0.24</v>
      </c>
      <c r="AA27" s="75" t="str">
        <f t="shared" ref="AA27:AA31" si="25">IFERROR(IF(Z27="","",IF(Z27&lt;=0.2,"Muy Baja",IF(Z27&lt;=0.4,"Baja",IF(Z27&lt;=0.6,"Media",IF(Z27&lt;=0.8,"Alta","Muy Alta"))))),"")</f>
        <v>Baja</v>
      </c>
      <c r="AB27" s="76">
        <f t="shared" ref="AB27:AB31" si="26">+Z27</f>
        <v>0.24</v>
      </c>
      <c r="AC27" s="77" t="str">
        <f t="shared" ref="AC27:AC31" si="27">IFERROR(IF(AD27="","",IF(AD27&lt;=0.2,"Leve",IF(AD27&lt;=0.4,"Menor",IF(AD27&lt;=0.6,"Moderado",IF(AD27&lt;=0.8,"Mayor","Catastrófico"))))),"")</f>
        <v>Catastrófico</v>
      </c>
      <c r="AD27" s="74">
        <f>IFERROR(IF(S27="Impacto",(M27-(+M27*V27)),IF(S27="Probabilidad",M27,"")),"")</f>
        <v>1</v>
      </c>
      <c r="AE27" s="78" t="str">
        <f>+CONCATENATE(AA27, " - ", AC27)</f>
        <v>Baja - Catastrófico</v>
      </c>
      <c r="AF27" s="81" t="str">
        <f>+VLOOKUP(AE27,Datos!$J$4:$K$28,2,)</f>
        <v>EXTREMO</v>
      </c>
      <c r="AG27" s="165" t="s">
        <v>108</v>
      </c>
      <c r="AH27" s="2"/>
      <c r="AI27" s="204" t="s">
        <v>126</v>
      </c>
      <c r="AJ27" s="255" t="s">
        <v>72</v>
      </c>
      <c r="AK27" s="258">
        <v>45534</v>
      </c>
      <c r="AM27" s="175">
        <v>45792</v>
      </c>
      <c r="AN27" s="167" t="s">
        <v>127</v>
      </c>
      <c r="AO27" s="170" t="s">
        <v>74</v>
      </c>
      <c r="AP27" s="173" t="s">
        <v>75</v>
      </c>
      <c r="AQ27" s="162"/>
      <c r="AR27" s="264"/>
      <c r="AS27" s="261" t="s">
        <v>128</v>
      </c>
      <c r="AT27" s="248" t="s">
        <v>129</v>
      </c>
    </row>
    <row r="28" spans="1:46" ht="255" customHeight="1">
      <c r="A28" s="149"/>
      <c r="B28" s="152"/>
      <c r="C28" s="155"/>
      <c r="D28" s="155"/>
      <c r="E28" s="155"/>
      <c r="F28" s="157"/>
      <c r="G28" s="152"/>
      <c r="H28" s="159"/>
      <c r="I28" s="161"/>
      <c r="J28" s="178"/>
      <c r="K28" s="181"/>
      <c r="L28" s="159"/>
      <c r="M28" s="161"/>
      <c r="N28" s="161"/>
      <c r="O28" s="246"/>
      <c r="P28" s="2"/>
      <c r="Q28" s="111">
        <v>2</v>
      </c>
      <c r="R28" s="101" t="s">
        <v>87</v>
      </c>
      <c r="S28" s="52" t="str">
        <f t="shared" si="23"/>
        <v>Probabilidad</v>
      </c>
      <c r="T28" s="49" t="s">
        <v>79</v>
      </c>
      <c r="U28" s="49" t="s">
        <v>66</v>
      </c>
      <c r="V28" s="56" t="str">
        <f t="shared" si="24"/>
        <v>40%</v>
      </c>
      <c r="W28" s="36" t="s">
        <v>88</v>
      </c>
      <c r="X28" s="36" t="s">
        <v>85</v>
      </c>
      <c r="Y28" s="36" t="s">
        <v>89</v>
      </c>
      <c r="Z28" s="64">
        <f>IFERROR(IF(AND(S27="Probabilidad",S28="Probabilidad"),(AB27-(+AB27*V28)),IF(S28="Probabilidad",(I27-(+I27*V28)),IF(S28="Impacto",AB27,""))),"")</f>
        <v>0.14399999999999999</v>
      </c>
      <c r="AA28" s="75" t="str">
        <f t="shared" ref="AA28" si="28">IFERROR(IF(Z28="","",IF(Z28&lt;=0.2,"Muy Baja",IF(Z28&lt;=0.4,"Baja",IF(Z28&lt;=0.6,"Media",IF(Z28&lt;=0.8,"Alta","Muy Alta"))))),"")</f>
        <v>Muy Baja</v>
      </c>
      <c r="AB28" s="66">
        <f t="shared" ref="AB28" si="29">+Z28</f>
        <v>0.14399999999999999</v>
      </c>
      <c r="AC28" s="67" t="str">
        <f t="shared" ref="AC28" si="30">IFERROR(IF(AD28="","",IF(AD28&lt;=0.2,"Leve",IF(AD28&lt;=0.4,"Menor",IF(AD28&lt;=0.6,"Moderado",IF(AD28&lt;=0.8,"Mayor","Catastrófico"))))),"")</f>
        <v>Catastrófico</v>
      </c>
      <c r="AD28" s="64">
        <f>IFERROR(IF(AND(S27="Impacto",S27="Impacto"),(AD27-(+AD27*V28)),IF(S28="Impacto",(M27-(+M27*V28)),IF(S28="Probabilidad",AD27,""))),"")</f>
        <v>1</v>
      </c>
      <c r="AE28" s="68" t="str">
        <f t="shared" ref="AE28" si="31">+CONCATENATE(AA28, " - ", AC28)</f>
        <v>Muy Baja - Catastrófico</v>
      </c>
      <c r="AF28" s="80" t="str">
        <f>+VLOOKUP(AE28,Datos!$J$4:$K$28,2,)</f>
        <v>EXTREMO</v>
      </c>
      <c r="AG28" s="165"/>
      <c r="AH28" s="2"/>
      <c r="AI28" s="205"/>
      <c r="AJ28" s="256"/>
      <c r="AK28" s="259"/>
      <c r="AM28" s="175"/>
      <c r="AN28" s="168"/>
      <c r="AO28" s="171"/>
      <c r="AP28" s="173"/>
      <c r="AQ28" s="163"/>
      <c r="AR28" s="173"/>
      <c r="AS28" s="262"/>
      <c r="AT28" s="248"/>
    </row>
    <row r="29" spans="1:46" ht="255" customHeight="1">
      <c r="A29" s="149"/>
      <c r="B29" s="152"/>
      <c r="C29" s="155"/>
      <c r="D29" s="155"/>
      <c r="E29" s="155"/>
      <c r="F29" s="157"/>
      <c r="G29" s="152"/>
      <c r="H29" s="159"/>
      <c r="I29" s="161"/>
      <c r="J29" s="178"/>
      <c r="K29" s="181"/>
      <c r="L29" s="159"/>
      <c r="M29" s="161"/>
      <c r="N29" s="161"/>
      <c r="O29" s="246"/>
      <c r="P29" s="2"/>
      <c r="Q29" s="111">
        <v>3</v>
      </c>
      <c r="R29" s="100" t="s">
        <v>130</v>
      </c>
      <c r="S29" s="52" t="str">
        <f t="shared" si="23"/>
        <v>Probabilidad</v>
      </c>
      <c r="T29" s="6" t="s">
        <v>79</v>
      </c>
      <c r="U29" s="6" t="s">
        <v>66</v>
      </c>
      <c r="V29" s="56" t="str">
        <f t="shared" si="24"/>
        <v>40%</v>
      </c>
      <c r="W29" s="10" t="s">
        <v>131</v>
      </c>
      <c r="X29" s="10" t="s">
        <v>132</v>
      </c>
      <c r="Y29" s="10" t="s">
        <v>82</v>
      </c>
      <c r="Z29" s="64">
        <f>IFERROR(IF(AND(S28="Probabilidad",S29="Probabilidad"),(AB28-(+AB28*V29)),IF(S29="Probabilidad",(I27-(+I27*V29)),IF(S29="Impacto",AB28,""))),"")</f>
        <v>8.6399999999999991E-2</v>
      </c>
      <c r="AA29" s="75" t="str">
        <f t="shared" ref="AA29" si="32">IFERROR(IF(Z29="","",IF(Z29&lt;=0.2,"Muy Baja",IF(Z29&lt;=0.4,"Baja",IF(Z29&lt;=0.6,"Media",IF(Z29&lt;=0.8,"Alta","Muy Alta"))))),"")</f>
        <v>Muy Baja</v>
      </c>
      <c r="AB29" s="64">
        <f t="shared" ref="AB29" si="33">+Z29</f>
        <v>8.6399999999999991E-2</v>
      </c>
      <c r="AC29" s="67" t="str">
        <f t="shared" ref="AC29" si="34">IFERROR(IF(AD29="","",IF(AD29&lt;=0.2,"Leve",IF(AD29&lt;=0.4,"Menor",IF(AD29&lt;=0.6,"Moderado",IF(AD29&lt;=0.8,"Mayor","Catastrófico"))))),"")</f>
        <v>Catastrófico</v>
      </c>
      <c r="AD29" s="64">
        <f>IFERROR(IF(AND(S28="Impacto",S28="Impacto"),(AD28-(+AD28*V29)),IF(S29="Impacto",(M27-(+M27*V29)),IF(S29="Probabilidad",AD28,""))),"")</f>
        <v>1</v>
      </c>
      <c r="AE29" s="68" t="str">
        <f t="shared" ref="AE29" si="35">+CONCATENATE(AA29, " - ", AC29)</f>
        <v>Muy Baja - Catastrófico</v>
      </c>
      <c r="AF29" s="80" t="str">
        <f>+VLOOKUP(AE29,Datos!$J$4:$K$28,2,)</f>
        <v>EXTREMO</v>
      </c>
      <c r="AG29" s="165"/>
      <c r="AH29" s="2"/>
      <c r="AI29" s="206"/>
      <c r="AJ29" s="257"/>
      <c r="AK29" s="260"/>
      <c r="AM29" s="175"/>
      <c r="AN29" s="168"/>
      <c r="AO29" s="171"/>
      <c r="AP29" s="173"/>
      <c r="AQ29" s="163"/>
      <c r="AR29" s="173"/>
      <c r="AS29" s="262"/>
      <c r="AT29" s="248"/>
    </row>
    <row r="30" spans="1:46" ht="255" customHeight="1">
      <c r="A30" s="149"/>
      <c r="B30" s="152"/>
      <c r="C30" s="155"/>
      <c r="D30" s="155"/>
      <c r="E30" s="155"/>
      <c r="F30" s="157"/>
      <c r="G30" s="152"/>
      <c r="H30" s="159"/>
      <c r="I30" s="161"/>
      <c r="J30" s="178"/>
      <c r="K30" s="181"/>
      <c r="L30" s="159"/>
      <c r="M30" s="161"/>
      <c r="N30" s="161"/>
      <c r="O30" s="246"/>
      <c r="P30" s="2"/>
      <c r="Q30" s="111">
        <v>4</v>
      </c>
      <c r="R30" s="98" t="s">
        <v>133</v>
      </c>
      <c r="S30" s="52" t="str">
        <f t="shared" ref="S30:S34" si="36">IF(OR(T30="Preventivo",T30="Detectivo"),"Probabilidad",IF(T30="Correctivo","Impacto",""))</f>
        <v>Impacto</v>
      </c>
      <c r="T30" s="6" t="s">
        <v>91</v>
      </c>
      <c r="U30" s="6" t="s">
        <v>66</v>
      </c>
      <c r="V30" s="56" t="str">
        <f t="shared" ref="V30:V34" si="37">IF(AND(T30="Preventivo",U30="Automático"),"50%",IF(AND(T30="Preventivo",U30="Manual"),"40%",IF(AND(T30="Detectivo",U30="Automático"),"40%",IF(AND(T30="Detectivo",U30="Manual"),"30%",IF(AND(T30="Correctivo",U30="Automático"),"35%",IF(AND(T30="Correctivo",U30="Manual"),"25%",""))))))</f>
        <v>25%</v>
      </c>
      <c r="W30" s="36" t="s">
        <v>123</v>
      </c>
      <c r="X30" s="10" t="s">
        <v>134</v>
      </c>
      <c r="Y30" s="10" t="s">
        <v>119</v>
      </c>
      <c r="Z30" s="64">
        <f>IFERROR(IF(AND(S29="Probabilidad",S30="Probabilidad"),(AB29-(+AB29*V30)),IF(S30="Probabilidad",(I27-(+I27*V30)),IF(S30="Impacto",AB29,""))),"")</f>
        <v>8.6399999999999991E-2</v>
      </c>
      <c r="AA30" s="65" t="str">
        <f t="shared" ref="AA30" si="38">IFERROR(IF(Z30="","",IF(Z30&lt;=0.2,"Muy Baja",IF(Z30&lt;=0.4,"Baja",IF(Z30&lt;=0.6,"Media",IF(Z30&lt;=0.8,"Alta","Muy Alta"))))),"")</f>
        <v>Muy Baja</v>
      </c>
      <c r="AB30" s="64">
        <f t="shared" ref="AB30" si="39">+Z30</f>
        <v>8.6399999999999991E-2</v>
      </c>
      <c r="AC30" s="67" t="str">
        <f t="shared" ref="AC30" si="40">IFERROR(IF(AD30="","",IF(AD30&lt;=0.2,"Leve",IF(AD30&lt;=0.4,"Menor",IF(AD30&lt;=0.6,"Moderado",IF(AD30&lt;=0.8,"Mayor","Catastrófico"))))),"")</f>
        <v>Mayor</v>
      </c>
      <c r="AD30" s="64">
        <f>IFERROR(IF(AND(S29="Impacto",S29="Impacto"),(AD29-(+AD29*V30)),IF(S30="Impacto",(M27-(+M27*V30)),IF(S30="Probabilidad",AD29,""))),"")</f>
        <v>0.75</v>
      </c>
      <c r="AE30" s="68" t="str">
        <f t="shared" ref="AE30" si="41">+CONCATENATE(AA30, " - ", AC30)</f>
        <v>Muy Baja - Mayor</v>
      </c>
      <c r="AF30" s="80" t="str">
        <f>+VLOOKUP(AE30,Datos!$J$4:$K$28,2,)</f>
        <v>ALTO</v>
      </c>
      <c r="AG30" s="165"/>
      <c r="AH30" s="2"/>
      <c r="AI30" s="204" t="s">
        <v>135</v>
      </c>
      <c r="AJ30" s="255" t="s">
        <v>72</v>
      </c>
      <c r="AK30" s="258">
        <v>45412</v>
      </c>
      <c r="AM30" s="175"/>
      <c r="AN30" s="168"/>
      <c r="AO30" s="171"/>
      <c r="AP30" s="173"/>
      <c r="AQ30" s="163"/>
      <c r="AR30" s="173"/>
      <c r="AS30" s="262"/>
      <c r="AT30" s="248"/>
    </row>
    <row r="31" spans="1:46" ht="255" customHeight="1">
      <c r="A31" s="150"/>
      <c r="B31" s="153"/>
      <c r="C31" s="156"/>
      <c r="D31" s="156"/>
      <c r="E31" s="156"/>
      <c r="F31" s="142"/>
      <c r="G31" s="153"/>
      <c r="H31" s="160"/>
      <c r="I31" s="138"/>
      <c r="J31" s="179"/>
      <c r="K31" s="182"/>
      <c r="L31" s="160"/>
      <c r="M31" s="138"/>
      <c r="N31" s="214"/>
      <c r="O31" s="247"/>
      <c r="P31" s="2"/>
      <c r="Q31" s="9">
        <v>5</v>
      </c>
      <c r="R31" s="126" t="s">
        <v>136</v>
      </c>
      <c r="S31" s="86" t="str">
        <f t="shared" si="36"/>
        <v>Impacto</v>
      </c>
      <c r="T31" s="49" t="s">
        <v>91</v>
      </c>
      <c r="U31" s="49" t="s">
        <v>66</v>
      </c>
      <c r="V31" s="87" t="str">
        <f t="shared" si="37"/>
        <v>25%</v>
      </c>
      <c r="W31" s="109" t="s">
        <v>99</v>
      </c>
      <c r="X31" s="50" t="s">
        <v>100</v>
      </c>
      <c r="Y31" s="102" t="s">
        <v>101</v>
      </c>
      <c r="Z31" s="88">
        <f>IFERROR(IF(AND(S28="Probabilidad",S31="Probabilidad"),(AB28-(+AB28*V31)),IF(S31="Probabilidad",(I27-(+I27*V31)),IF(S31="Impacto",AB28,""))),"")</f>
        <v>0.14399999999999999</v>
      </c>
      <c r="AA31" s="97" t="str">
        <f t="shared" si="25"/>
        <v>Muy Baja</v>
      </c>
      <c r="AB31" s="117">
        <f t="shared" si="26"/>
        <v>0.14399999999999999</v>
      </c>
      <c r="AC31" s="107" t="str">
        <f t="shared" si="27"/>
        <v>Moderado</v>
      </c>
      <c r="AD31" s="88">
        <f>IFERROR(IF(AND(S30="Impacto",S30="Impacto"),(AD30-(+AD30*V31)),IF(S31="Impacto",(M27-(+M27*V31)),IF(S31="Probabilidad",AD27,""))),"")</f>
        <v>0.5625</v>
      </c>
      <c r="AE31" s="83" t="str">
        <f t="shared" ref="AE31" si="42">+CONCATENATE(AA31, " - ", AC31)</f>
        <v>Muy Baja - Moderado</v>
      </c>
      <c r="AF31" s="108" t="str">
        <f>+VLOOKUP(AE31,Datos!$J$4:$K$28,2,)</f>
        <v>MODERADO</v>
      </c>
      <c r="AG31" s="166"/>
      <c r="AH31" s="2"/>
      <c r="AI31" s="206"/>
      <c r="AJ31" s="257"/>
      <c r="AK31" s="260"/>
      <c r="AL31" s="82"/>
      <c r="AM31" s="176"/>
      <c r="AN31" s="169"/>
      <c r="AO31" s="172"/>
      <c r="AP31" s="174"/>
      <c r="AQ31" s="164"/>
      <c r="AR31" s="174"/>
      <c r="AS31" s="263"/>
      <c r="AT31" s="249"/>
    </row>
    <row r="32" spans="1:46" ht="404.25" customHeight="1">
      <c r="A32" s="148">
        <v>4</v>
      </c>
      <c r="B32" s="151" t="s">
        <v>59</v>
      </c>
      <c r="C32" s="154" t="s">
        <v>60</v>
      </c>
      <c r="D32" s="154" t="s">
        <v>137</v>
      </c>
      <c r="E32" s="154" t="s">
        <v>138</v>
      </c>
      <c r="F32" s="139"/>
      <c r="G32" s="300">
        <v>24</v>
      </c>
      <c r="H32" s="158" t="str">
        <f>IF(G32&lt;=0,"",IF(G32&lt;=2,"Muy Baja",IF(G32&lt;=24,"Baja",IF(G32&lt;=500,"Media",IF(G32&lt;=5000,"Alta","Muy Alta")))))</f>
        <v>Baja</v>
      </c>
      <c r="I32" s="135">
        <f>IF(H32="","",IF(H32="Muy Baja",0.2,IF(H32="Baja",0.4,IF(H32="Media",0.6,IF(H32="Alta",0.8,IF(H32="Muy Alta",1,))))))</f>
        <v>0.4</v>
      </c>
      <c r="J32" s="177" t="s">
        <v>63</v>
      </c>
      <c r="K32" s="180" t="str">
        <f>+J32</f>
        <v xml:space="preserve">Afectación Mayor a 3000 SMLMV </v>
      </c>
      <c r="L32" s="158" t="str">
        <f>+VLOOKUP(K32,Datos!$O$4:$P$15,2,FALSE)</f>
        <v>Catastrófico</v>
      </c>
      <c r="M32" s="135">
        <f>IF(L32="","",IF(L32="Leve",0.2,IF(L32="Menor",0.4,IF(L32="Moderado",0.6,IF(L32="Mayor",0.8,IF(L32="Catastrófico",1,))))))</f>
        <v>1</v>
      </c>
      <c r="N32" s="213" t="str">
        <f>+CONCATENATE(H32, " - ", L32)</f>
        <v>Baja - Catastrófico</v>
      </c>
      <c r="O32" s="245" t="str">
        <f>+VLOOKUP(N32,Datos!J9:K33,2,FALSE)</f>
        <v>EXTREMO</v>
      </c>
      <c r="P32" s="2"/>
      <c r="Q32" s="106">
        <v>1</v>
      </c>
      <c r="R32" s="91" t="s">
        <v>139</v>
      </c>
      <c r="S32" s="51" t="str">
        <f t="shared" si="36"/>
        <v>Probabilidad</v>
      </c>
      <c r="T32" s="38" t="s">
        <v>79</v>
      </c>
      <c r="U32" s="38" t="s">
        <v>66</v>
      </c>
      <c r="V32" s="55" t="str">
        <f t="shared" si="37"/>
        <v>40%</v>
      </c>
      <c r="W32" s="39" t="s">
        <v>140</v>
      </c>
      <c r="X32" s="39" t="s">
        <v>141</v>
      </c>
      <c r="Y32" s="39" t="s">
        <v>89</v>
      </c>
      <c r="Z32" s="59">
        <f>IFERROR(IF(S32="Probabilidad",(I32-(+I32*V32)),IF(S32="Impacto",I32,"")),"")</f>
        <v>0.24</v>
      </c>
      <c r="AA32" s="60" t="str">
        <f t="shared" ref="AA32:AA37" si="43">IFERROR(IF(Z32="","",IF(Z32&lt;=0.2,"Muy Baja",IF(Z32&lt;=0.4,"Baja",IF(Z32&lt;=0.6,"Media",IF(Z32&lt;=0.8,"Alta","Muy Alta"))))),"")</f>
        <v>Baja</v>
      </c>
      <c r="AB32" s="59">
        <f t="shared" ref="AB32:AB37" si="44">+Z32</f>
        <v>0.24</v>
      </c>
      <c r="AC32" s="62" t="str">
        <f t="shared" ref="AC32:AC37" si="45">IFERROR(IF(AD32="","",IF(AD32&lt;=0.2,"Leve",IF(AD32&lt;=0.4,"Menor",IF(AD32&lt;=0.6,"Moderado",IF(AD32&lt;=0.8,"Mayor","Catastrófico"))))),"")</f>
        <v>Catastrófico</v>
      </c>
      <c r="AD32" s="59">
        <f>IFERROR(IF(S32="Impacto",(M32-(+M32*V32)),IF(S32="Probabilidad",M32,"")),"")</f>
        <v>1</v>
      </c>
      <c r="AE32" s="63" t="str">
        <f>+CONCATENATE(AA32, " - ", AC32)</f>
        <v>Baja - Catastrófico</v>
      </c>
      <c r="AF32" s="79" t="str">
        <f>+VLOOKUP(AE32,Datos!$J$4:$K$28,2,)</f>
        <v>EXTREMO</v>
      </c>
      <c r="AG32" s="215" t="s">
        <v>108</v>
      </c>
      <c r="AH32" s="2"/>
      <c r="AI32" s="204" t="s">
        <v>142</v>
      </c>
      <c r="AJ32" s="207" t="s">
        <v>72</v>
      </c>
      <c r="AK32" s="210" t="s">
        <v>143</v>
      </c>
      <c r="AM32" s="175">
        <v>45792</v>
      </c>
      <c r="AN32" s="167" t="s">
        <v>144</v>
      </c>
      <c r="AO32" s="171" t="s">
        <v>145</v>
      </c>
      <c r="AP32" s="171" t="s">
        <v>145</v>
      </c>
      <c r="AQ32" s="171"/>
      <c r="AR32" s="309"/>
      <c r="AS32" s="306" t="s">
        <v>146</v>
      </c>
      <c r="AT32" s="303" t="s">
        <v>147</v>
      </c>
    </row>
    <row r="33" spans="1:46" ht="404.25" customHeight="1">
      <c r="A33" s="149"/>
      <c r="B33" s="152"/>
      <c r="C33" s="155"/>
      <c r="D33" s="155"/>
      <c r="E33" s="155"/>
      <c r="F33" s="157"/>
      <c r="G33" s="301"/>
      <c r="H33" s="159"/>
      <c r="I33" s="161"/>
      <c r="J33" s="178"/>
      <c r="K33" s="181"/>
      <c r="L33" s="159"/>
      <c r="M33" s="161"/>
      <c r="N33" s="161"/>
      <c r="O33" s="246"/>
      <c r="P33" s="2"/>
      <c r="Q33" s="115">
        <v>2</v>
      </c>
      <c r="R33" s="118" t="s">
        <v>148</v>
      </c>
      <c r="S33" s="52" t="str">
        <f t="shared" si="36"/>
        <v>Probabilidad</v>
      </c>
      <c r="T33" s="49" t="s">
        <v>79</v>
      </c>
      <c r="U33" s="49" t="s">
        <v>66</v>
      </c>
      <c r="V33" s="56" t="str">
        <f t="shared" si="37"/>
        <v>40%</v>
      </c>
      <c r="W33" s="36" t="s">
        <v>140</v>
      </c>
      <c r="X33" s="36" t="s">
        <v>141</v>
      </c>
      <c r="Y33" s="36" t="s">
        <v>89</v>
      </c>
      <c r="Z33" s="64">
        <f>IFERROR(IF(AND(S32="Probabilidad",S33="Probabilidad"),(AB32-(+AB32*V33)),IF(S33="Probabilidad",(I32-(+I32*V33)),IF(S33="Impacto",AB32,""))),"")</f>
        <v>0.14399999999999999</v>
      </c>
      <c r="AA33" s="75" t="str">
        <f t="shared" si="43"/>
        <v>Muy Baja</v>
      </c>
      <c r="AB33" s="64">
        <f t="shared" si="44"/>
        <v>0.14399999999999999</v>
      </c>
      <c r="AC33" s="67" t="str">
        <f t="shared" si="45"/>
        <v>Catastrófico</v>
      </c>
      <c r="AD33" s="64">
        <f>IFERROR(IF(AND(S32="Impacto",S32="Impacto"),(AD32-(+AD32*V33)),IF(S33="Impacto",(M32-(+M32*V33)),IF(S33="Probabilidad",AD32,""))),"")</f>
        <v>1</v>
      </c>
      <c r="AE33" s="68" t="str">
        <f t="shared" ref="AE33:AE37" si="46">+CONCATENATE(AA33, " - ", AC33)</f>
        <v>Muy Baja - Catastrófico</v>
      </c>
      <c r="AF33" s="80" t="str">
        <f>+VLOOKUP(AE33,Datos!$J$4:$K$28,2,)</f>
        <v>EXTREMO</v>
      </c>
      <c r="AG33" s="165"/>
      <c r="AH33" s="2"/>
      <c r="AI33" s="205"/>
      <c r="AJ33" s="208"/>
      <c r="AK33" s="307"/>
      <c r="AM33" s="175"/>
      <c r="AN33" s="168"/>
      <c r="AO33" s="171"/>
      <c r="AP33" s="171"/>
      <c r="AQ33" s="171"/>
      <c r="AR33" s="309"/>
      <c r="AS33" s="306"/>
      <c r="AT33" s="304"/>
    </row>
    <row r="34" spans="1:46" ht="183.75" customHeight="1">
      <c r="A34" s="149"/>
      <c r="B34" s="152"/>
      <c r="C34" s="155"/>
      <c r="D34" s="155"/>
      <c r="E34" s="155"/>
      <c r="F34" s="157"/>
      <c r="G34" s="301"/>
      <c r="H34" s="159"/>
      <c r="I34" s="161"/>
      <c r="J34" s="178"/>
      <c r="K34" s="181"/>
      <c r="L34" s="159"/>
      <c r="M34" s="161"/>
      <c r="N34" s="161"/>
      <c r="O34" s="246"/>
      <c r="P34" s="2"/>
      <c r="Q34" s="85">
        <v>3</v>
      </c>
      <c r="R34" s="119" t="s">
        <v>149</v>
      </c>
      <c r="S34" s="52" t="str">
        <f t="shared" si="36"/>
        <v>Probabilidad</v>
      </c>
      <c r="T34" s="49" t="s">
        <v>79</v>
      </c>
      <c r="U34" s="49" t="s">
        <v>66</v>
      </c>
      <c r="V34" s="56" t="str">
        <f t="shared" si="37"/>
        <v>40%</v>
      </c>
      <c r="W34" s="36" t="s">
        <v>88</v>
      </c>
      <c r="X34" s="36" t="s">
        <v>85</v>
      </c>
      <c r="Y34" s="36" t="s">
        <v>89</v>
      </c>
      <c r="Z34" s="64">
        <f>IFERROR(IF(AND(S33="Probabilidad",S34="Probabilidad"),(AB33-(+AB33*V34)),IF(S34="Probabilidad",(I32-(+I32*V34)),IF(S34="Impacto",AB33,""))),"")</f>
        <v>8.6399999999999991E-2</v>
      </c>
      <c r="AA34" s="75" t="str">
        <f t="shared" si="43"/>
        <v>Muy Baja</v>
      </c>
      <c r="AB34" s="64">
        <f t="shared" si="44"/>
        <v>8.6399999999999991E-2</v>
      </c>
      <c r="AC34" s="67" t="str">
        <f t="shared" si="45"/>
        <v>Catastrófico</v>
      </c>
      <c r="AD34" s="64">
        <f>IFERROR(IF(AND(S33="Impacto",S33="Impacto"),(AD33-(+AD33*V34)),IF(S34="Impacto",(M32-(+M32*V34)),IF(S34="Probabilidad",AD33,""))),"")</f>
        <v>1</v>
      </c>
      <c r="AE34" s="68" t="str">
        <f t="shared" si="46"/>
        <v>Muy Baja - Catastrófico</v>
      </c>
      <c r="AF34" s="80" t="str">
        <f>+VLOOKUP(AE34,Datos!$J$4:$K$28,2,)</f>
        <v>EXTREMO</v>
      </c>
      <c r="AG34" s="165"/>
      <c r="AH34" s="2"/>
      <c r="AI34" s="205"/>
      <c r="AJ34" s="208"/>
      <c r="AK34" s="307"/>
      <c r="AM34" s="175"/>
      <c r="AN34" s="168"/>
      <c r="AO34" s="171"/>
      <c r="AP34" s="171"/>
      <c r="AQ34" s="171"/>
      <c r="AR34" s="309"/>
      <c r="AS34" s="306"/>
      <c r="AT34" s="304"/>
    </row>
    <row r="35" spans="1:46" ht="159.75" customHeight="1">
      <c r="A35" s="149"/>
      <c r="B35" s="152"/>
      <c r="C35" s="155"/>
      <c r="D35" s="155"/>
      <c r="E35" s="155"/>
      <c r="F35" s="157"/>
      <c r="G35" s="301"/>
      <c r="H35" s="159"/>
      <c r="I35" s="161"/>
      <c r="J35" s="178"/>
      <c r="K35" s="181"/>
      <c r="L35" s="159"/>
      <c r="M35" s="161"/>
      <c r="N35" s="161"/>
      <c r="O35" s="246"/>
      <c r="P35" s="2"/>
      <c r="Q35" s="121">
        <v>4</v>
      </c>
      <c r="R35" s="93" t="s">
        <v>150</v>
      </c>
      <c r="S35" s="52" t="str">
        <f t="shared" ref="S35:S37" si="47">IF(OR(T35="Preventivo",T35="Detectivo"),"Probabilidad",IF(T35="Correctivo","Impacto",""))</f>
        <v>Probabilidad</v>
      </c>
      <c r="T35" s="6" t="s">
        <v>65</v>
      </c>
      <c r="U35" s="6" t="s">
        <v>66</v>
      </c>
      <c r="V35" s="56" t="str">
        <f t="shared" ref="V35:V37" si="48">IF(AND(T35="Preventivo",U35="Automático"),"50%",IF(AND(T35="Preventivo",U35="Manual"),"40%",IF(AND(T35="Detectivo",U35="Automático"),"40%",IF(AND(T35="Detectivo",U35="Manual"),"30%",IF(AND(T35="Correctivo",U35="Automático"),"35%",IF(AND(T35="Correctivo",U35="Manual"),"25%",""))))))</f>
        <v>30%</v>
      </c>
      <c r="W35" s="36" t="s">
        <v>140</v>
      </c>
      <c r="X35" s="10" t="s">
        <v>93</v>
      </c>
      <c r="Y35" s="10" t="s">
        <v>151</v>
      </c>
      <c r="Z35" s="64">
        <f>IFERROR(IF(AND(S34="Probabilidad",S35="Probabilidad"),(AB34-(+AB34*V35)),IF(S35="Probabilidad",(I32-(+I32*V35)),IF(S35="Impacto",AB34,""))),"")</f>
        <v>6.0479999999999992E-2</v>
      </c>
      <c r="AA35" s="65" t="str">
        <f t="shared" si="43"/>
        <v>Muy Baja</v>
      </c>
      <c r="AB35" s="64">
        <f t="shared" si="44"/>
        <v>6.0479999999999992E-2</v>
      </c>
      <c r="AC35" s="67" t="str">
        <f t="shared" si="45"/>
        <v>Catastrófico</v>
      </c>
      <c r="AD35" s="64">
        <f>IFERROR(IF(AND(S34="Impacto",S34="Impacto"),(AD34-(+AD34*V35)),IF(S35="Impacto",(M32-(+M32*V35)),IF(S35="Probabilidad",AD34,""))),"")</f>
        <v>1</v>
      </c>
      <c r="AE35" s="68" t="str">
        <f t="shared" si="46"/>
        <v>Muy Baja - Catastrófico</v>
      </c>
      <c r="AF35" s="80" t="str">
        <f>+VLOOKUP(AE35,Datos!$J$4:$K$28,2,)</f>
        <v>EXTREMO</v>
      </c>
      <c r="AG35" s="165"/>
      <c r="AH35" s="2"/>
      <c r="AI35" s="205"/>
      <c r="AJ35" s="208"/>
      <c r="AK35" s="307"/>
      <c r="AM35" s="175"/>
      <c r="AN35" s="168"/>
      <c r="AO35" s="171"/>
      <c r="AP35" s="171"/>
      <c r="AQ35" s="171"/>
      <c r="AR35" s="309"/>
      <c r="AS35" s="306"/>
      <c r="AT35" s="304"/>
    </row>
    <row r="36" spans="1:46" ht="159.75" customHeight="1">
      <c r="A36" s="149"/>
      <c r="B36" s="152"/>
      <c r="C36" s="155"/>
      <c r="D36" s="155"/>
      <c r="E36" s="155"/>
      <c r="F36" s="157"/>
      <c r="G36" s="301"/>
      <c r="H36" s="159"/>
      <c r="I36" s="161"/>
      <c r="J36" s="178"/>
      <c r="K36" s="181"/>
      <c r="L36" s="159"/>
      <c r="M36" s="161"/>
      <c r="N36" s="161"/>
      <c r="O36" s="246"/>
      <c r="P36" s="2"/>
      <c r="Q36" s="106">
        <v>5</v>
      </c>
      <c r="R36" s="122" t="s">
        <v>152</v>
      </c>
      <c r="S36" s="52" t="str">
        <f t="shared" si="47"/>
        <v>Impacto</v>
      </c>
      <c r="T36" s="6" t="s">
        <v>91</v>
      </c>
      <c r="U36" s="6" t="s">
        <v>66</v>
      </c>
      <c r="V36" s="56" t="str">
        <f t="shared" si="48"/>
        <v>25%</v>
      </c>
      <c r="W36" s="36" t="s">
        <v>153</v>
      </c>
      <c r="X36" s="36" t="s">
        <v>154</v>
      </c>
      <c r="Y36" s="36" t="s">
        <v>155</v>
      </c>
      <c r="Z36" s="64">
        <f>IFERROR(IF(AND(S35="Probabilidad",S36="Probabilidad"),(AB35-(+AB35*V36)),IF(S36="Probabilidad",(I33-(+I33*V36)),IF(S36="Impacto",AB35,""))),"")</f>
        <v>6.0479999999999992E-2</v>
      </c>
      <c r="AA36" s="65" t="str">
        <f t="shared" ref="AA36" si="49">IFERROR(IF(Z36="","",IF(Z36&lt;=0.2,"Muy Baja",IF(Z36&lt;=0.4,"Baja",IF(Z36&lt;=0.6,"Media",IF(Z36&lt;=0.8,"Alta","Muy Alta"))))),"")</f>
        <v>Muy Baja</v>
      </c>
      <c r="AB36" s="64">
        <f t="shared" ref="AB36" si="50">+Z36</f>
        <v>6.0479999999999992E-2</v>
      </c>
      <c r="AC36" s="67" t="str">
        <f t="shared" ref="AC36" si="51">IFERROR(IF(AD36="","",IF(AD36&lt;=0.2,"Leve",IF(AD36&lt;=0.4,"Menor",IF(AD36&lt;=0.6,"Moderado",IF(AD36&lt;=0.8,"Mayor","Catastrófico"))))),"")</f>
        <v>Mayor</v>
      </c>
      <c r="AD36" s="64">
        <f>IFERROR(IF(AND(S35="Impacto",S35="Impacto"),(AD35-(+AD35*V36)),IF(S36="Impacto",(M32-(+M32*V36)),IF(S36="Probabilidad",AD35,""))),"")</f>
        <v>0.75</v>
      </c>
      <c r="AE36" s="68" t="str">
        <f t="shared" ref="AE36" si="52">+CONCATENATE(AA36, " - ", AC36)</f>
        <v>Muy Baja - Mayor</v>
      </c>
      <c r="AF36" s="80" t="str">
        <f>+VLOOKUP(AE36,Datos!$J$4:$K$28,2,)</f>
        <v>ALTO</v>
      </c>
      <c r="AG36" s="165"/>
      <c r="AH36" s="2"/>
      <c r="AI36" s="205"/>
      <c r="AJ36" s="208"/>
      <c r="AK36" s="307"/>
      <c r="AM36" s="175"/>
      <c r="AN36" s="168"/>
      <c r="AO36" s="171"/>
      <c r="AP36" s="171"/>
      <c r="AQ36" s="171"/>
      <c r="AR36" s="309"/>
      <c r="AS36" s="306"/>
      <c r="AT36" s="304"/>
    </row>
    <row r="37" spans="1:46" ht="387.75" customHeight="1">
      <c r="A37" s="150"/>
      <c r="B37" s="153"/>
      <c r="C37" s="156"/>
      <c r="D37" s="156"/>
      <c r="E37" s="156"/>
      <c r="F37" s="142"/>
      <c r="G37" s="302"/>
      <c r="H37" s="160"/>
      <c r="I37" s="138"/>
      <c r="J37" s="179"/>
      <c r="K37" s="182"/>
      <c r="L37" s="160"/>
      <c r="M37" s="138"/>
      <c r="N37" s="214"/>
      <c r="O37" s="247"/>
      <c r="P37" s="2"/>
      <c r="Q37" s="116">
        <v>6</v>
      </c>
      <c r="R37" s="123" t="s">
        <v>156</v>
      </c>
      <c r="S37" s="53" t="str">
        <f t="shared" si="47"/>
        <v>Impacto</v>
      </c>
      <c r="T37" s="22" t="s">
        <v>91</v>
      </c>
      <c r="U37" s="22" t="s">
        <v>66</v>
      </c>
      <c r="V37" s="57"/>
      <c r="W37" s="120" t="s">
        <v>153</v>
      </c>
      <c r="X37" s="36" t="s">
        <v>157</v>
      </c>
      <c r="Y37" s="120" t="s">
        <v>155</v>
      </c>
      <c r="Z37" s="69">
        <f>IFERROR(IF(AND(S33="Probabilidad",S37="Probabilidad"),(AB33-(+AB33*V37)),IF(S37="Probabilidad",(I32-(+I32*V37)),IF(S37="Impacto",AB33,""))),"")</f>
        <v>0.14399999999999999</v>
      </c>
      <c r="AA37" s="70" t="str">
        <f t="shared" si="43"/>
        <v>Muy Baja</v>
      </c>
      <c r="AB37" s="71">
        <f t="shared" si="44"/>
        <v>0.14399999999999999</v>
      </c>
      <c r="AC37" s="72" t="str">
        <f t="shared" si="45"/>
        <v>Mayor</v>
      </c>
      <c r="AD37" s="69">
        <f>IFERROR(IF(AND(S36="Impacto",S36="Impacto"),(AD36-(+AD36*V37)),IF(S37="Impacto",(M32-(+M32*V37)),IF(S37="Probabilidad",AD32,""))),"")</f>
        <v>0.75</v>
      </c>
      <c r="AE37" s="73" t="str">
        <f t="shared" si="46"/>
        <v>Muy Baja - Mayor</v>
      </c>
      <c r="AF37" s="114" t="str">
        <f>+VLOOKUP(AE37,Datos!$J$4:$K$28,2,)</f>
        <v>ALTO</v>
      </c>
      <c r="AG37" s="217"/>
      <c r="AH37" s="2"/>
      <c r="AI37" s="206"/>
      <c r="AJ37" s="209"/>
      <c r="AK37" s="308"/>
      <c r="AL37" s="82"/>
      <c r="AM37" s="176"/>
      <c r="AN37" s="169"/>
      <c r="AO37" s="172"/>
      <c r="AP37" s="172"/>
      <c r="AQ37" s="172"/>
      <c r="AR37" s="310"/>
      <c r="AS37" s="306"/>
      <c r="AT37" s="305"/>
    </row>
    <row r="38" spans="1:46">
      <c r="P38" s="2"/>
      <c r="AI38" s="112"/>
      <c r="AJ38" s="113"/>
      <c r="AK38" s="113"/>
      <c r="AM38" s="127"/>
    </row>
  </sheetData>
  <mergeCells count="135">
    <mergeCell ref="AT32:AT37"/>
    <mergeCell ref="AN32:AN37"/>
    <mergeCell ref="AO32:AO37"/>
    <mergeCell ref="AP32:AP37"/>
    <mergeCell ref="AQ32:AQ37"/>
    <mergeCell ref="AS32:AS37"/>
    <mergeCell ref="AG32:AG37"/>
    <mergeCell ref="AI32:AI37"/>
    <mergeCell ref="AJ32:AJ37"/>
    <mergeCell ref="AK32:AK37"/>
    <mergeCell ref="AM32:AM37"/>
    <mergeCell ref="AR32:AR37"/>
    <mergeCell ref="K32:K37"/>
    <mergeCell ref="L32:L37"/>
    <mergeCell ref="M32:M37"/>
    <mergeCell ref="N32:N37"/>
    <mergeCell ref="O32:O37"/>
    <mergeCell ref="F32:F37"/>
    <mergeCell ref="G32:G37"/>
    <mergeCell ref="H32:H37"/>
    <mergeCell ref="I32:I37"/>
    <mergeCell ref="J32:J37"/>
    <mergeCell ref="A32:A37"/>
    <mergeCell ref="B32:B37"/>
    <mergeCell ref="C32:C37"/>
    <mergeCell ref="D32:D37"/>
    <mergeCell ref="E32:E37"/>
    <mergeCell ref="AO17:AO23"/>
    <mergeCell ref="AM24:AM26"/>
    <mergeCell ref="AN24:AN26"/>
    <mergeCell ref="AP17:AP23"/>
    <mergeCell ref="L17:L23"/>
    <mergeCell ref="J17:J23"/>
    <mergeCell ref="B17:B23"/>
    <mergeCell ref="A17:A23"/>
    <mergeCell ref="C17:C23"/>
    <mergeCell ref="D17:D23"/>
    <mergeCell ref="H24:H26"/>
    <mergeCell ref="I24:I26"/>
    <mergeCell ref="A24:A26"/>
    <mergeCell ref="B24:B26"/>
    <mergeCell ref="C24:C26"/>
    <mergeCell ref="D24:D26"/>
    <mergeCell ref="E24:E26"/>
    <mergeCell ref="F24:F26"/>
    <mergeCell ref="G24:G26"/>
    <mergeCell ref="AQ17:AQ23"/>
    <mergeCell ref="AO24:AO26"/>
    <mergeCell ref="AP24:AP26"/>
    <mergeCell ref="AQ1:AR2"/>
    <mergeCell ref="AS1:AT2"/>
    <mergeCell ref="AQ3:AR4"/>
    <mergeCell ref="AS3:AT4"/>
    <mergeCell ref="AM14:AQ15"/>
    <mergeCell ref="AS14:AT15"/>
    <mergeCell ref="AQ5:AR6"/>
    <mergeCell ref="AS5:AT6"/>
    <mergeCell ref="AQ7:AR8"/>
    <mergeCell ref="AS7:AT8"/>
    <mergeCell ref="AS17:AS23"/>
    <mergeCell ref="AT17:AT23"/>
    <mergeCell ref="AT24:AT26"/>
    <mergeCell ref="AR17:AR23"/>
    <mergeCell ref="AT27:AT31"/>
    <mergeCell ref="AI24:AI26"/>
    <mergeCell ref="AJ24:AJ26"/>
    <mergeCell ref="AK24:AK26"/>
    <mergeCell ref="J24:J26"/>
    <mergeCell ref="AG24:AG26"/>
    <mergeCell ref="K24:K26"/>
    <mergeCell ref="L24:L26"/>
    <mergeCell ref="M24:M26"/>
    <mergeCell ref="N24:N26"/>
    <mergeCell ref="O24:O26"/>
    <mergeCell ref="L27:L31"/>
    <mergeCell ref="M27:M31"/>
    <mergeCell ref="N27:N31"/>
    <mergeCell ref="O27:O31"/>
    <mergeCell ref="AI30:AI31"/>
    <mergeCell ref="AI27:AI29"/>
    <mergeCell ref="AJ27:AJ29"/>
    <mergeCell ref="AK27:AK29"/>
    <mergeCell ref="AJ30:AJ31"/>
    <mergeCell ref="AK30:AK31"/>
    <mergeCell ref="AS27:AS31"/>
    <mergeCell ref="AR24:AR26"/>
    <mergeCell ref="AR27:AR31"/>
    <mergeCell ref="A1:B8"/>
    <mergeCell ref="C1:AP4"/>
    <mergeCell ref="AI14:AK15"/>
    <mergeCell ref="AI17:AI23"/>
    <mergeCell ref="AJ17:AJ23"/>
    <mergeCell ref="AK17:AK23"/>
    <mergeCell ref="K17:K23"/>
    <mergeCell ref="N17:N23"/>
    <mergeCell ref="AG17:AG23"/>
    <mergeCell ref="A10:C10"/>
    <mergeCell ref="D10:M10"/>
    <mergeCell ref="A11:C11"/>
    <mergeCell ref="D11:M11"/>
    <mergeCell ref="C5:AP8"/>
    <mergeCell ref="AM17:AM23"/>
    <mergeCell ref="AN17:AN23"/>
    <mergeCell ref="A12:C12"/>
    <mergeCell ref="D12:M12"/>
    <mergeCell ref="E17:E23"/>
    <mergeCell ref="A14:O15"/>
    <mergeCell ref="G17:G23"/>
    <mergeCell ref="H17:H23"/>
    <mergeCell ref="I17:I23"/>
    <mergeCell ref="O17:O23"/>
    <mergeCell ref="Q14:AG14"/>
    <mergeCell ref="Z15:AG15"/>
    <mergeCell ref="T15:Y15"/>
    <mergeCell ref="M17:M23"/>
    <mergeCell ref="F17:F23"/>
    <mergeCell ref="AQ24:AQ26"/>
    <mergeCell ref="AS24:AS26"/>
    <mergeCell ref="A27:A31"/>
    <mergeCell ref="B27:B31"/>
    <mergeCell ref="C27:C31"/>
    <mergeCell ref="D27:D31"/>
    <mergeCell ref="E27:E31"/>
    <mergeCell ref="F27:F31"/>
    <mergeCell ref="G27:G31"/>
    <mergeCell ref="H27:H31"/>
    <mergeCell ref="I27:I31"/>
    <mergeCell ref="AQ27:AQ31"/>
    <mergeCell ref="AG27:AG31"/>
    <mergeCell ref="AN27:AN31"/>
    <mergeCell ref="AO27:AO31"/>
    <mergeCell ref="AP27:AP31"/>
    <mergeCell ref="AM27:AM31"/>
    <mergeCell ref="J27:J31"/>
    <mergeCell ref="K27:K31"/>
  </mergeCells>
  <conditionalFormatting sqref="H17:H37">
    <cfRule type="cellIs" dxfId="29" priority="57" operator="equal">
      <formula>"Muy Alta"</formula>
    </cfRule>
    <cfRule type="cellIs" dxfId="28" priority="58" operator="equal">
      <formula>"Alta"</formula>
    </cfRule>
    <cfRule type="cellIs" dxfId="27" priority="59" operator="equal">
      <formula>"Media"</formula>
    </cfRule>
    <cfRule type="cellIs" dxfId="26" priority="60" operator="equal">
      <formula>"Muy Baja"</formula>
    </cfRule>
    <cfRule type="cellIs" dxfId="25" priority="61" operator="equal">
      <formula>"Baja"</formula>
    </cfRule>
  </conditionalFormatting>
  <conditionalFormatting sqref="L17:L37">
    <cfRule type="cellIs" dxfId="24" priority="52" operator="equal">
      <formula>"Leve"</formula>
    </cfRule>
    <cfRule type="cellIs" dxfId="23" priority="53" operator="equal">
      <formula>"Catastrófico"</formula>
    </cfRule>
    <cfRule type="cellIs" dxfId="22" priority="54" operator="equal">
      <formula>"Mayor"</formula>
    </cfRule>
    <cfRule type="cellIs" dxfId="21" priority="55" operator="equal">
      <formula>"Moderado"</formula>
    </cfRule>
    <cfRule type="cellIs" dxfId="20" priority="56" operator="equal">
      <formula>"Menor"</formula>
    </cfRule>
  </conditionalFormatting>
  <conditionalFormatting sqref="O17:O37">
    <cfRule type="cellIs" dxfId="19" priority="48" operator="equal">
      <formula>"EXTREMO"</formula>
    </cfRule>
    <cfRule type="cellIs" dxfId="18" priority="49" operator="equal">
      <formula>"ALTO"</formula>
    </cfRule>
    <cfRule type="cellIs" dxfId="17" priority="50" operator="equal">
      <formula>"BAJO"</formula>
    </cfRule>
    <cfRule type="cellIs" dxfId="16" priority="51" operator="equal">
      <formula>"MODERADO"</formula>
    </cfRule>
  </conditionalFormatting>
  <conditionalFormatting sqref="AA17:AA23">
    <cfRule type="cellIs" dxfId="15" priority="221" operator="equal">
      <formula>"Muy Baja"</formula>
    </cfRule>
  </conditionalFormatting>
  <conditionalFormatting sqref="AA17:AA37">
    <cfRule type="cellIs" dxfId="14" priority="2" operator="equal">
      <formula>"Baja"</formula>
    </cfRule>
    <cfRule type="cellIs" dxfId="13" priority="3" operator="equal">
      <formula>"Media"</formula>
    </cfRule>
    <cfRule type="cellIs" dxfId="12" priority="4" operator="equal">
      <formula>"Muy Alta"</formula>
    </cfRule>
    <cfRule type="cellIs" dxfId="11" priority="5" operator="equal">
      <formula>"Alta"</formula>
    </cfRule>
  </conditionalFormatting>
  <conditionalFormatting sqref="AA24">
    <cfRule type="cellIs" dxfId="10" priority="165" operator="equal">
      <formula>"B+$Z$17Muy Baja"</formula>
    </cfRule>
  </conditionalFormatting>
  <conditionalFormatting sqref="AA25:AA37">
    <cfRule type="cellIs" dxfId="9" priority="1" operator="equal">
      <formula>"Muy Baja"</formula>
    </cfRule>
  </conditionalFormatting>
  <conditionalFormatting sqref="AC17:AC37">
    <cfRule type="cellIs" dxfId="8" priority="38" operator="equal">
      <formula>"Catastrófico"</formula>
    </cfRule>
    <cfRule type="cellIs" dxfId="7" priority="39" operator="equal">
      <formula>"Mayor"</formula>
    </cfRule>
    <cfRule type="cellIs" dxfId="6" priority="40" operator="equal">
      <formula>"Moderado"</formula>
    </cfRule>
    <cfRule type="cellIs" dxfId="5" priority="41" operator="equal">
      <formula>"Menor"</formula>
    </cfRule>
    <cfRule type="cellIs" dxfId="4" priority="42" operator="equal">
      <formula>"Leve"</formula>
    </cfRule>
  </conditionalFormatting>
  <conditionalFormatting sqref="AF17:AF37">
    <cfRule type="cellIs" dxfId="3" priority="34" operator="equal">
      <formula>"EXTREMO"</formula>
    </cfRule>
    <cfRule type="cellIs" dxfId="2" priority="35" operator="equal">
      <formula>"ALTO"</formula>
    </cfRule>
    <cfRule type="cellIs" dxfId="1" priority="36" operator="equal">
      <formula>"BAJO"</formula>
    </cfRule>
    <cfRule type="cellIs" dxfId="0" priority="37" operator="equal">
      <formula>"MODERADO"</formula>
    </cfRule>
  </conditionalFormatting>
  <pageMargins left="0.70866141732283472" right="0.70866141732283472" top="0.74803149606299213" bottom="0.74803149606299213" header="0.31496062992125984" footer="0.31496062992125984"/>
  <pageSetup paperSize="41" scale="54" fitToWidth="3" fitToHeight="3" orientation="landscape" r:id="rId1"/>
  <colBreaks count="1" manualBreakCount="1">
    <brk id="16" max="23" man="1"/>
  </colBreaks>
  <ignoredErrors>
    <ignoredError sqref="O17 L23:M23 M17 L18:M18" evalError="1"/>
  </ignoredErrors>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7CF86C26-8C14-4E30-92E4-11D42FE3F607}">
          <x14:formula1>
            <xm:f>Datos!$A$4:$A$6</xm:f>
          </x14:formula1>
          <xm:sqref>B17:B37</xm:sqref>
        </x14:dataValidation>
        <x14:dataValidation type="list" allowBlank="1" showInputMessage="1" showErrorMessage="1" xr:uid="{24BF034C-8DF6-4DDD-AB0C-FB15D8D5C9DC}">
          <x14:formula1>
            <xm:f>Datos!$O$3:$O$15</xm:f>
          </x14:formula1>
          <xm:sqref>J17:J37</xm:sqref>
        </x14:dataValidation>
        <x14:dataValidation type="list" allowBlank="1" showInputMessage="1" showErrorMessage="1" xr:uid="{A1FA52A4-69DE-4657-98CA-1920C8A6A77B}">
          <x14:formula1>
            <xm:f>Datos!$P$19:$P$22</xm:f>
          </x14:formula1>
          <xm:sqref>T17:T37</xm:sqref>
        </x14:dataValidation>
        <x14:dataValidation type="list" allowBlank="1" showInputMessage="1" showErrorMessage="1" xr:uid="{B5CA7F40-8C14-496F-BFA9-3397672B45BD}">
          <x14:formula1>
            <xm:f>Datos!$P$25:$P$26</xm:f>
          </x14:formula1>
          <xm:sqref>U17:U37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8145F3-C2C7-423E-A64C-54A21F4DB808}">
  <dimension ref="A3:Q28"/>
  <sheetViews>
    <sheetView topLeftCell="A7" zoomScale="120" zoomScaleNormal="120" workbookViewId="0">
      <selection activeCell="J13" sqref="J13"/>
    </sheetView>
  </sheetViews>
  <sheetFormatPr defaultColWidth="11.42578125" defaultRowHeight="14.45"/>
  <cols>
    <col min="7" max="7" width="14.85546875" customWidth="1"/>
    <col min="10" max="10" width="33" customWidth="1"/>
    <col min="15" max="15" width="81.42578125" customWidth="1"/>
  </cols>
  <sheetData>
    <row r="3" spans="1:17">
      <c r="A3" s="26" t="s">
        <v>158</v>
      </c>
      <c r="D3" t="s">
        <v>159</v>
      </c>
      <c r="G3" t="s">
        <v>160</v>
      </c>
      <c r="J3" t="s">
        <v>161</v>
      </c>
      <c r="O3" t="s">
        <v>162</v>
      </c>
    </row>
    <row r="4" spans="1:17">
      <c r="A4" t="s">
        <v>59</v>
      </c>
      <c r="D4" t="s">
        <v>163</v>
      </c>
      <c r="E4" s="25">
        <v>0.2</v>
      </c>
      <c r="G4" t="s">
        <v>164</v>
      </c>
      <c r="H4" s="25">
        <v>0.2</v>
      </c>
      <c r="J4" t="s">
        <v>165</v>
      </c>
      <c r="K4" t="s">
        <v>166</v>
      </c>
      <c r="O4" t="s">
        <v>167</v>
      </c>
      <c r="P4" s="3" t="s">
        <v>168</v>
      </c>
      <c r="Q4" s="28">
        <v>0.2</v>
      </c>
    </row>
    <row r="5" spans="1:17">
      <c r="A5" t="s">
        <v>169</v>
      </c>
      <c r="D5" t="s">
        <v>170</v>
      </c>
      <c r="E5" s="25">
        <v>0.4</v>
      </c>
      <c r="G5" t="s">
        <v>171</v>
      </c>
      <c r="H5" s="25">
        <v>0.4</v>
      </c>
      <c r="J5" t="s">
        <v>172</v>
      </c>
      <c r="K5" t="s">
        <v>166</v>
      </c>
      <c r="O5" s="27" t="s">
        <v>173</v>
      </c>
      <c r="P5" s="3" t="s">
        <v>174</v>
      </c>
      <c r="Q5" s="28">
        <v>0.4</v>
      </c>
    </row>
    <row r="6" spans="1:17">
      <c r="A6" t="s">
        <v>175</v>
      </c>
      <c r="D6" t="s">
        <v>176</v>
      </c>
      <c r="E6" s="25">
        <v>0.6</v>
      </c>
      <c r="G6" t="s">
        <v>177</v>
      </c>
      <c r="H6" s="25">
        <v>0.6</v>
      </c>
      <c r="J6" t="s">
        <v>178</v>
      </c>
      <c r="K6" t="s">
        <v>177</v>
      </c>
      <c r="O6" t="s">
        <v>179</v>
      </c>
      <c r="P6" s="3" t="s">
        <v>180</v>
      </c>
      <c r="Q6" s="28">
        <v>0.6</v>
      </c>
    </row>
    <row r="7" spans="1:17">
      <c r="D7" t="s">
        <v>181</v>
      </c>
      <c r="E7" s="25">
        <v>0.8</v>
      </c>
      <c r="G7" t="s">
        <v>182</v>
      </c>
      <c r="H7" s="25">
        <v>0.8</v>
      </c>
      <c r="J7" t="s">
        <v>183</v>
      </c>
      <c r="K7" t="s">
        <v>184</v>
      </c>
      <c r="O7" t="s">
        <v>185</v>
      </c>
      <c r="P7" s="3" t="s">
        <v>186</v>
      </c>
      <c r="Q7" s="28">
        <v>0.8</v>
      </c>
    </row>
    <row r="8" spans="1:17">
      <c r="D8" t="s">
        <v>187</v>
      </c>
      <c r="E8" s="25">
        <v>1</v>
      </c>
      <c r="G8" t="s">
        <v>188</v>
      </c>
      <c r="H8" s="25">
        <v>1</v>
      </c>
      <c r="J8" t="s">
        <v>189</v>
      </c>
      <c r="K8" t="s">
        <v>190</v>
      </c>
      <c r="O8" t="s">
        <v>63</v>
      </c>
      <c r="P8" s="3" t="s">
        <v>191</v>
      </c>
      <c r="Q8" s="28">
        <v>1</v>
      </c>
    </row>
    <row r="9" spans="1:17">
      <c r="J9" t="s">
        <v>192</v>
      </c>
      <c r="K9" t="s">
        <v>166</v>
      </c>
    </row>
    <row r="10" spans="1:17">
      <c r="J10" t="s">
        <v>193</v>
      </c>
      <c r="K10" t="s">
        <v>177</v>
      </c>
      <c r="O10" t="s">
        <v>194</v>
      </c>
    </row>
    <row r="11" spans="1:17">
      <c r="J11" t="s">
        <v>195</v>
      </c>
      <c r="K11" t="s">
        <v>177</v>
      </c>
      <c r="O11" t="s">
        <v>196</v>
      </c>
      <c r="P11" s="3" t="s">
        <v>168</v>
      </c>
      <c r="Q11" s="28">
        <v>0.2</v>
      </c>
    </row>
    <row r="12" spans="1:17" ht="30.75" customHeight="1">
      <c r="J12" t="s">
        <v>197</v>
      </c>
      <c r="K12" t="s">
        <v>184</v>
      </c>
      <c r="O12" s="27" t="s">
        <v>198</v>
      </c>
      <c r="P12" s="3" t="s">
        <v>174</v>
      </c>
      <c r="Q12" s="28">
        <v>0.4</v>
      </c>
    </row>
    <row r="13" spans="1:17" ht="28.9">
      <c r="J13" t="s">
        <v>199</v>
      </c>
      <c r="K13" t="s">
        <v>190</v>
      </c>
      <c r="O13" s="27" t="s">
        <v>200</v>
      </c>
      <c r="P13" s="3" t="s">
        <v>180</v>
      </c>
      <c r="Q13" s="28">
        <v>0.6</v>
      </c>
    </row>
    <row r="14" spans="1:17" ht="28.9">
      <c r="J14" t="s">
        <v>201</v>
      </c>
      <c r="K14" t="s">
        <v>177</v>
      </c>
      <c r="O14" s="27" t="s">
        <v>202</v>
      </c>
      <c r="P14" s="3" t="s">
        <v>186</v>
      </c>
      <c r="Q14" s="28">
        <v>0.8</v>
      </c>
    </row>
    <row r="15" spans="1:17" ht="28.9">
      <c r="J15" t="s">
        <v>203</v>
      </c>
      <c r="K15" t="s">
        <v>177</v>
      </c>
      <c r="O15" s="27" t="s">
        <v>204</v>
      </c>
      <c r="P15" s="3" t="s">
        <v>191</v>
      </c>
      <c r="Q15" s="28">
        <v>1</v>
      </c>
    </row>
    <row r="16" spans="1:17">
      <c r="J16" t="s">
        <v>205</v>
      </c>
      <c r="K16" t="s">
        <v>177</v>
      </c>
    </row>
    <row r="17" spans="10:16">
      <c r="J17" t="s">
        <v>206</v>
      </c>
      <c r="K17" t="s">
        <v>184</v>
      </c>
    </row>
    <row r="18" spans="10:16">
      <c r="J18" t="s">
        <v>207</v>
      </c>
      <c r="K18" t="s">
        <v>190</v>
      </c>
    </row>
    <row r="19" spans="10:16">
      <c r="J19" t="s">
        <v>208</v>
      </c>
      <c r="K19" t="s">
        <v>177</v>
      </c>
      <c r="P19" t="s">
        <v>209</v>
      </c>
    </row>
    <row r="20" spans="10:16">
      <c r="J20" t="s">
        <v>210</v>
      </c>
      <c r="K20" t="s">
        <v>177</v>
      </c>
      <c r="P20" t="s">
        <v>79</v>
      </c>
    </row>
    <row r="21" spans="10:16">
      <c r="J21" t="s">
        <v>211</v>
      </c>
      <c r="K21" t="s">
        <v>184</v>
      </c>
      <c r="P21" t="s">
        <v>65</v>
      </c>
    </row>
    <row r="22" spans="10:16">
      <c r="J22" t="s">
        <v>212</v>
      </c>
      <c r="K22" t="s">
        <v>184</v>
      </c>
      <c r="P22" t="s">
        <v>91</v>
      </c>
    </row>
    <row r="23" spans="10:16">
      <c r="J23" t="s">
        <v>213</v>
      </c>
      <c r="K23" t="s">
        <v>190</v>
      </c>
    </row>
    <row r="24" spans="10:16">
      <c r="J24" t="s">
        <v>214</v>
      </c>
      <c r="K24" t="s">
        <v>184</v>
      </c>
      <c r="P24" t="s">
        <v>215</v>
      </c>
    </row>
    <row r="25" spans="10:16">
      <c r="J25" t="s">
        <v>216</v>
      </c>
      <c r="K25" t="s">
        <v>184</v>
      </c>
      <c r="P25" t="s">
        <v>217</v>
      </c>
    </row>
    <row r="26" spans="10:16">
      <c r="J26" t="s">
        <v>218</v>
      </c>
      <c r="K26" t="s">
        <v>184</v>
      </c>
      <c r="P26" t="s">
        <v>66</v>
      </c>
    </row>
    <row r="27" spans="10:16">
      <c r="J27" t="s">
        <v>219</v>
      </c>
      <c r="K27" t="s">
        <v>184</v>
      </c>
    </row>
    <row r="28" spans="10:16">
      <c r="J28" t="s">
        <v>220</v>
      </c>
      <c r="K28" t="s">
        <v>190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4374F-F591-4574-B834-47D1B9F3602A}">
  <dimension ref="A1"/>
  <sheetViews>
    <sheetView workbookViewId="0"/>
  </sheetViews>
  <sheetFormatPr defaultColWidth="11.42578125" defaultRowHeight="14.4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fd943-4f51-4e42-85af-a07052259448">
      <Terms xmlns="http://schemas.microsoft.com/office/infopath/2007/PartnerControls"/>
    </lcf76f155ced4ddcb4097134ff3c332f>
    <TaxCatchAll xmlns="d8efec78-3424-4c97-abf4-c2ff1d9e6d0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C960FE7278092C44B5607AA964C04AD8" ma:contentTypeVersion="18" ma:contentTypeDescription="Crear nuevo documento." ma:contentTypeScope="" ma:versionID="3c334712ddb1a386e221a84023a1ba0c">
  <xsd:schema xmlns:xsd="http://www.w3.org/2001/XMLSchema" xmlns:xs="http://www.w3.org/2001/XMLSchema" xmlns:p="http://schemas.microsoft.com/office/2006/metadata/properties" xmlns:ns2="8befd943-4f51-4e42-85af-a07052259448" xmlns:ns3="d8efec78-3424-4c97-abf4-c2ff1d9e6d03" targetNamespace="http://schemas.microsoft.com/office/2006/metadata/properties" ma:root="true" ma:fieldsID="1ff44eaf9d9925a66300bdb688085a0f" ns2:_="" ns3:_="">
    <xsd:import namespace="8befd943-4f51-4e42-85af-a07052259448"/>
    <xsd:import namespace="d8efec78-3424-4c97-abf4-c2ff1d9e6d0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fd943-4f51-4e42-85af-a070522594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8efec78-3424-4c97-abf4-c2ff1d9e6d03"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dbdcf5c2-d273-4d70-8f91-c5c66f26fa01}" ma:internalName="TaxCatchAll" ma:showField="CatchAllData" ma:web="d8efec78-3424-4c97-abf4-c2ff1d9e6d0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69E075F-55A3-4660-ACE9-EAC59044251C}"/>
</file>

<file path=customXml/itemProps2.xml><?xml version="1.0" encoding="utf-8"?>
<ds:datastoreItem xmlns:ds="http://schemas.openxmlformats.org/officeDocument/2006/customXml" ds:itemID="{E46FD5F8-6D45-4EDB-8D3C-8C33029E39AF}"/>
</file>

<file path=customXml/itemProps3.xml><?xml version="1.0" encoding="utf-8"?>
<ds:datastoreItem xmlns:ds="http://schemas.openxmlformats.org/officeDocument/2006/customXml" ds:itemID="{8E13BB56-018A-4E37-B6DE-2AA29B2D9EC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Willington Granados Herrera</dc:creator>
  <cp:keywords/>
  <dc:description/>
  <cp:lastModifiedBy>Ingrid Beatriz Acosta Velasquez</cp:lastModifiedBy>
  <cp:revision/>
  <dcterms:created xsi:type="dcterms:W3CDTF">2021-05-10T15:52:34Z</dcterms:created>
  <dcterms:modified xsi:type="dcterms:W3CDTF">2025-05-27T23:57:53Z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0x010100C960FE7278092C44B5607AA964C04AD8</vt:lpwstr>
  </property>
  <property fmtid="{D5CDD505-2E9C-101B-9397-08002B2CF9AE}" pid="3" name="MediaServiceImageTags">
    <vt:lpwstr/>
  </property>
</Properties>
</file>